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omments1.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2.xml" ContentType="application/vnd.openxmlformats-officedocument.spreadsheetml.comments+xml"/>
  <Override PartName="/xl/customProperty7.bin" ContentType="application/vnd.openxmlformats-officedocument.spreadsheetml.customProperty"/>
  <Override PartName="/xl/customProperty8.bin" ContentType="application/vnd.openxmlformats-officedocument.spreadsheetml.customProperty"/>
  <Override PartName="/xl/comments3.xml" ContentType="application/vnd.openxmlformats-officedocument.spreadsheetml.comments+xml"/>
  <Override PartName="/xl/customProperty9.bin" ContentType="application/vnd.openxmlformats-officedocument.spreadsheetml.customProperty"/>
  <Override PartName="/xl/customProperty10.bin" ContentType="application/vnd.openxmlformats-officedocument.spreadsheetml.customProperty"/>
  <Override PartName="/xl/comments4.xml" ContentType="application/vnd.openxmlformats-officedocument.spreadsheetml.comments+xml"/>
  <Override PartName="/xl/customProperty11.bin" ContentType="application/vnd.openxmlformats-officedocument.spreadsheetml.customProperty"/>
  <Override PartName="/xl/customProperty12.bin" ContentType="application/vnd.openxmlformats-officedocument.spreadsheetml.customProperty"/>
  <Override PartName="/xl/comments5.xml" ContentType="application/vnd.openxmlformats-officedocument.spreadsheetml.comments+xml"/>
  <Override PartName="/xl/customProperty13.bin" ContentType="application/vnd.openxmlformats-officedocument.spreadsheetml.customProperty"/>
  <Override PartName="/xl/customProperty14.bin" ContentType="application/vnd.openxmlformats-officedocument.spreadsheetml.customProperty"/>
  <Override PartName="/xl/comments6.xml" ContentType="application/vnd.openxmlformats-officedocument.spreadsheetml.comments+xml"/>
  <Override PartName="/xl/customProperty15.bin" ContentType="application/vnd.openxmlformats-officedocument.spreadsheetml.customProperty"/>
  <Override PartName="/xl/customProperty16.bin" ContentType="application/vnd.openxmlformats-officedocument.spreadsheetml.customProperty"/>
  <Override PartName="/xl/comments7.xml" ContentType="application/vnd.openxmlformats-officedocument.spreadsheetml.comments+xml"/>
  <Override PartName="/xl/customProperty17.bin" ContentType="application/vnd.openxmlformats-officedocument.spreadsheetml.customProperty"/>
  <Override PartName="/xl/customProperty18.bin" ContentType="application/vnd.openxmlformats-officedocument.spreadsheetml.customProperty"/>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infosystechnologies-my.sharepoint.com/personal/roshan_khatuwala_ad_infosys_com/Documents/Investor Relations/IR-Shared Folder/FY 27/Q2 27/Final/"/>
    </mc:Choice>
  </mc:AlternateContent>
  <xr:revisionPtr revIDLastSave="0" documentId="8_{A8DDD981-6A72-4ECC-9A97-218B73461929}" xr6:coauthVersionLast="47" xr6:coauthVersionMax="47" xr10:uidLastSave="{00000000-0000-0000-0000-000000000000}"/>
  <bookViews>
    <workbookView xWindow="-110" yWindow="-110" windowWidth="19420" windowHeight="10300" tabRatio="900" xr2:uid="{72740FDD-FC48-4AC7-A33B-7182432E0BE1}"/>
  </bookViews>
  <sheets>
    <sheet name="Index" sheetId="1" r:id="rId1"/>
    <sheet name="1 INR- Consol Profit Loss" sheetId="2" r:id="rId2"/>
    <sheet name="2 INR - Consol Balance Sheet" sheetId="5" r:id="rId3"/>
    <sheet name="3 INR - Consol Cash flow" sheetId="8" r:id="rId4"/>
    <sheet name="4 USD - Consol Profit Loss" sheetId="6" r:id="rId5"/>
    <sheet name="5 USD - Consol Balance Sheet" sheetId="7" r:id="rId6"/>
    <sheet name="6 USD - Consol Cash flow" sheetId="9" r:id="rId7"/>
    <sheet name="7 Operating Metrics" sheetId="10" r:id="rId8"/>
    <sheet name="Disaggregate Revenue" sheetId="11" state="hidden" r:id="rId9"/>
  </sheets>
  <definedNames>
    <definedName name="_01_INR_Consolidated">Index!$B$11</definedName>
    <definedName name="_xlnm._FilterDatabase" localSheetId="3" hidden="1">'3 INR - Consol Cash flow'!$B$6:$BO$82</definedName>
    <definedName name="_xlnm.Print_Area" localSheetId="1">'1 INR- Consol Profit Loss'!$B$1:$BO$50</definedName>
    <definedName name="_xlnm.Print_Area" localSheetId="2">'2 INR - Consol Balance Sheet'!$B$1:$BO$72</definedName>
    <definedName name="_xlnm.Print_Area" localSheetId="3">'3 INR - Consol Cash flow'!$B$1:$BO$86</definedName>
    <definedName name="_xlnm.Print_Area" localSheetId="4">'4 USD - Consol Profit Loss'!$B$1:$BO$51</definedName>
    <definedName name="_xlnm.Print_Area" localSheetId="5">'5 USD - Consol Balance Sheet'!$C$1:$BP$70</definedName>
    <definedName name="_xlnm.Print_Area" localSheetId="6">'6 USD - Consol Cash flow'!$B$1:$BO$90</definedName>
    <definedName name="_xlnm.Print_Area" localSheetId="7">'7 Operating Metrics'!$B$1:$BP$264</definedName>
    <definedName name="_xlnm.Print_Area" localSheetId="8">'Disaggregate Revenue'!$B$1:$K$145</definedName>
    <definedName name="_xlnm.Print_Area" localSheetId="0">Index!$B$1:$C$25</definedName>
    <definedName name="_xlnm.Print_Titles" localSheetId="3">'3 INR - Consol Cash flow'!$5:$5</definedName>
    <definedName name="_xlnm.Print_Titles" localSheetId="7">'7 Operating Metrics'!$5:$5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175" i="10" l="1"/>
  <c r="BP232" i="10"/>
  <c r="BM250" i="10"/>
  <c r="BP130" i="10"/>
  <c r="BL78" i="9" l="1"/>
  <c r="BL74" i="9"/>
  <c r="BL73" i="9"/>
  <c r="BL72" i="9"/>
  <c r="BL71" i="9"/>
  <c r="BL70" i="9"/>
  <c r="BL69" i="9"/>
  <c r="BO64" i="9"/>
  <c r="BL62" i="9"/>
  <c r="BL59" i="9"/>
  <c r="BL58" i="9"/>
  <c r="BL47" i="9"/>
  <c r="BL46" i="9"/>
  <c r="BL45" i="9"/>
  <c r="BL42" i="9"/>
  <c r="BL43" i="9"/>
  <c r="BL38" i="9"/>
  <c r="BL34" i="9"/>
  <c r="BL31" i="9"/>
  <c r="BL30" i="9"/>
  <c r="BL29" i="9"/>
  <c r="BL28" i="9"/>
  <c r="BL27" i="9"/>
  <c r="BL26" i="9"/>
  <c r="BL25" i="9"/>
  <c r="BL13" i="9"/>
  <c r="BL12" i="9"/>
  <c r="BL11" i="9"/>
  <c r="BL10" i="9"/>
  <c r="BL82" i="8" l="1"/>
  <c r="BL77" i="8"/>
  <c r="BL66" i="8"/>
  <c r="BL65" i="8"/>
  <c r="BO62" i="8"/>
  <c r="BL60" i="8"/>
  <c r="BL59" i="8"/>
  <c r="BL58" i="8"/>
  <c r="BL57" i="8"/>
  <c r="BL56" i="8"/>
  <c r="BL55" i="8"/>
  <c r="BL48" i="8"/>
  <c r="BL49" i="8"/>
  <c r="BL50" i="8"/>
  <c r="BL51" i="8"/>
  <c r="BL52" i="8"/>
  <c r="BL53" i="8"/>
  <c r="BL54" i="8"/>
  <c r="BL47" i="8"/>
  <c r="BL46" i="8"/>
  <c r="BL45" i="8"/>
  <c r="BL44" i="8"/>
  <c r="BL43" i="8"/>
  <c r="BL42" i="8"/>
  <c r="BL41" i="8"/>
  <c r="BL40" i="8"/>
  <c r="BL39" i="8"/>
  <c r="BL38" i="8"/>
  <c r="BL37" i="8"/>
  <c r="BL35" i="8"/>
  <c r="BL31" i="8"/>
  <c r="BL28" i="8"/>
  <c r="BL27" i="8"/>
  <c r="BL26" i="8"/>
  <c r="BL25" i="8"/>
  <c r="BL24" i="8"/>
  <c r="BL23" i="8"/>
  <c r="BL21" i="8"/>
  <c r="BL20" i="8"/>
  <c r="BL19" i="8"/>
  <c r="BL17" i="8"/>
  <c r="BL11" i="8"/>
  <c r="BL12" i="8"/>
  <c r="BL13" i="8"/>
  <c r="BL10" i="8"/>
  <c r="BL9" i="8"/>
  <c r="BL7" i="8"/>
  <c r="BO25" i="2" l="1"/>
  <c r="BO13" i="2"/>
  <c r="BO12" i="2"/>
  <c r="BO8" i="2"/>
  <c r="BO6" i="2"/>
  <c r="BP129" i="10"/>
  <c r="BP234" i="10" l="1"/>
  <c r="BP226" i="10"/>
  <c r="BP184" i="10" l="1"/>
  <c r="BP141" i="10"/>
  <c r="BP140" i="10"/>
  <c r="BP139" i="10"/>
  <c r="BP138" i="10"/>
  <c r="BP137" i="10"/>
  <c r="BP136" i="10"/>
  <c r="BP135" i="10"/>
  <c r="BM81" i="10"/>
  <c r="BM49" i="10"/>
  <c r="BP28" i="10"/>
  <c r="BP27" i="10"/>
  <c r="BP26" i="10"/>
  <c r="BP25" i="10"/>
  <c r="BP24" i="10"/>
  <c r="BP23" i="10"/>
  <c r="BP22" i="10"/>
  <c r="BP21" i="10"/>
  <c r="BP20" i="10"/>
  <c r="BP19" i="10"/>
  <c r="BP18" i="10"/>
  <c r="BP17" i="10"/>
  <c r="BP16" i="10"/>
  <c r="BP15" i="10"/>
  <c r="BP14" i="10"/>
  <c r="BP13" i="10"/>
  <c r="BP12" i="10"/>
  <c r="BP11" i="10"/>
  <c r="BP10" i="10"/>
  <c r="BP9" i="10"/>
  <c r="BP8" i="10"/>
  <c r="BP7" i="10"/>
  <c r="BL76" i="8"/>
  <c r="BO74" i="8"/>
  <c r="BL72" i="8"/>
  <c r="BL71" i="8"/>
  <c r="BL70" i="8"/>
  <c r="BL69" i="8"/>
  <c r="BL68" i="8"/>
  <c r="BL67" i="8"/>
  <c r="BK62" i="8"/>
  <c r="BL36" i="8"/>
  <c r="BL62" i="8" s="1"/>
  <c r="BO30" i="8"/>
  <c r="BL18" i="8"/>
  <c r="BL16" i="8"/>
  <c r="BL15" i="8"/>
  <c r="BL14" i="8"/>
  <c r="BL30" i="8" s="1"/>
  <c r="BL32" i="8" s="1"/>
  <c r="BO76" i="9"/>
  <c r="BL85" i="9"/>
  <c r="BL81" i="9"/>
  <c r="BO82" i="9"/>
  <c r="BL68" i="9"/>
  <c r="BL67" i="9"/>
  <c r="BL60" i="9"/>
  <c r="BL61" i="9"/>
  <c r="BL57" i="9"/>
  <c r="BL56" i="9"/>
  <c r="BL55" i="9"/>
  <c r="BL54" i="9"/>
  <c r="BL53" i="9"/>
  <c r="BL52" i="9"/>
  <c r="BL51" i="9"/>
  <c r="BL50" i="9"/>
  <c r="BL49" i="9"/>
  <c r="BL48" i="9"/>
  <c r="BL44" i="9"/>
  <c r="BL41" i="9"/>
  <c r="BL40" i="9"/>
  <c r="BL39" i="9"/>
  <c r="BO33" i="9"/>
  <c r="BO35" i="9" s="1"/>
  <c r="BK33" i="9"/>
  <c r="BL23" i="9"/>
  <c r="BL22" i="9"/>
  <c r="BL21" i="9"/>
  <c r="BL19" i="9"/>
  <c r="BL20" i="9"/>
  <c r="BL18" i="9"/>
  <c r="BL17" i="9"/>
  <c r="BL16" i="9"/>
  <c r="BL15" i="9"/>
  <c r="BL14" i="9"/>
  <c r="BL7" i="9"/>
  <c r="BL33" i="9" s="1"/>
  <c r="BL35" i="9" s="1"/>
  <c r="BL64" i="9" l="1"/>
  <c r="BL76" i="9"/>
  <c r="BL74" i="8"/>
  <c r="BO35" i="6"/>
  <c r="BO11" i="6"/>
  <c r="BO8" i="6"/>
  <c r="BL64" i="5" l="1"/>
  <c r="BL66" i="5" s="1"/>
  <c r="BL67" i="5" s="1"/>
  <c r="BL47" i="5"/>
  <c r="BL49" i="5" s="1"/>
  <c r="BL55" i="5" s="1"/>
  <c r="BO55" i="5" s="1"/>
  <c r="BL33" i="5" l="1"/>
  <c r="BO67" i="5"/>
  <c r="BO66" i="5"/>
  <c r="BO65" i="5"/>
  <c r="BO64" i="5"/>
  <c r="BO63" i="5"/>
  <c r="BO62" i="5"/>
  <c r="BO61" i="5"/>
  <c r="BO60" i="5"/>
  <c r="BO59" i="5"/>
  <c r="BO58" i="5"/>
  <c r="BO57" i="5"/>
  <c r="BO54" i="5"/>
  <c r="BO53" i="5"/>
  <c r="BO52" i="5"/>
  <c r="BO51" i="5"/>
  <c r="BO49" i="5"/>
  <c r="BO48" i="5"/>
  <c r="BO47" i="5"/>
  <c r="BO46" i="5"/>
  <c r="BO45" i="5"/>
  <c r="BO44" i="5"/>
  <c r="BO43" i="5"/>
  <c r="BO42" i="5"/>
  <c r="BO41" i="5"/>
  <c r="BO40" i="5"/>
  <c r="BO39" i="5"/>
  <c r="BO38" i="5"/>
  <c r="BO33" i="5"/>
  <c r="BO32" i="5"/>
  <c r="BO31" i="5"/>
  <c r="BO30" i="5"/>
  <c r="BO29" i="5"/>
  <c r="BO28" i="5"/>
  <c r="BO27" i="5"/>
  <c r="BO26" i="5"/>
  <c r="BO25" i="5"/>
  <c r="BO24" i="5"/>
  <c r="BO23" i="5"/>
  <c r="BO22" i="5"/>
  <c r="BO21" i="5"/>
  <c r="BO18" i="5"/>
  <c r="BL17" i="5"/>
  <c r="BL19" i="5" s="1"/>
  <c r="BO16" i="5"/>
  <c r="BO15" i="5"/>
  <c r="BO14" i="5"/>
  <c r="BO13" i="5"/>
  <c r="BO12" i="5"/>
  <c r="BO11" i="5"/>
  <c r="BO10" i="5"/>
  <c r="BO9" i="5"/>
  <c r="BO8" i="5"/>
  <c r="BP64" i="7"/>
  <c r="BM63" i="7"/>
  <c r="BP63" i="7" s="1"/>
  <c r="BP62" i="7"/>
  <c r="BP61" i="7"/>
  <c r="BP60" i="7"/>
  <c r="BP59" i="7"/>
  <c r="BP58" i="7"/>
  <c r="BP57" i="7"/>
  <c r="BP56" i="7"/>
  <c r="BP53" i="7"/>
  <c r="BP52" i="7"/>
  <c r="BP51" i="7"/>
  <c r="BP50" i="7"/>
  <c r="BP47" i="7"/>
  <c r="BP45" i="7"/>
  <c r="BP44" i="7"/>
  <c r="BP43" i="7"/>
  <c r="BP42" i="7"/>
  <c r="BP41" i="7"/>
  <c r="BP40" i="7"/>
  <c r="BP39" i="7"/>
  <c r="BP38" i="7"/>
  <c r="BP37" i="7"/>
  <c r="BP36" i="7"/>
  <c r="BM46" i="7"/>
  <c r="BP46" i="7" s="1"/>
  <c r="BP30" i="7"/>
  <c r="BP29" i="7"/>
  <c r="BP28" i="7"/>
  <c r="BP27" i="7"/>
  <c r="BP26" i="7"/>
  <c r="BP25" i="7"/>
  <c r="BP24" i="7"/>
  <c r="BP23" i="7"/>
  <c r="BP22" i="7"/>
  <c r="BP21" i="7"/>
  <c r="BP20" i="7"/>
  <c r="BP17" i="7"/>
  <c r="BM31" i="7"/>
  <c r="BP31" i="7" s="1"/>
  <c r="BM16" i="7"/>
  <c r="BP16" i="7" s="1"/>
  <c r="BP15" i="7"/>
  <c r="BP14" i="7"/>
  <c r="BP13" i="7"/>
  <c r="BP12" i="7"/>
  <c r="BP11" i="7"/>
  <c r="BP10" i="7"/>
  <c r="BP9" i="7"/>
  <c r="BP8" i="7"/>
  <c r="BL41" i="6"/>
  <c r="BL40" i="6"/>
  <c r="BM65" i="7" l="1"/>
  <c r="BP65" i="7" s="1"/>
  <c r="BM18" i="7"/>
  <c r="BP18" i="7" s="1"/>
  <c r="BM48" i="7"/>
  <c r="BL34" i="5"/>
  <c r="BO34" i="5" s="1"/>
  <c r="BO19" i="5"/>
  <c r="BO17" i="5"/>
  <c r="BM32" i="7"/>
  <c r="BP32" i="7" s="1"/>
  <c r="BL13" i="6"/>
  <c r="BL9" i="6"/>
  <c r="BL15" i="6" s="1"/>
  <c r="BL13" i="2"/>
  <c r="BO11" i="2"/>
  <c r="BL9" i="2"/>
  <c r="BL15" i="2" s="1"/>
  <c r="BP48" i="7" l="1"/>
  <c r="BM54" i="7"/>
  <c r="BL19" i="6"/>
  <c r="BL30" i="6"/>
  <c r="BL22" i="2"/>
  <c r="BL30" i="2" s="1"/>
  <c r="BL19" i="2"/>
  <c r="BP54" i="7" l="1"/>
  <c r="BM66" i="7"/>
  <c r="BP66" i="7" s="1"/>
  <c r="BL32" i="6"/>
  <c r="BL33" i="6"/>
  <c r="BL32" i="2"/>
  <c r="BL33" i="2"/>
  <c r="BL36" i="2" s="1"/>
  <c r="BL39" i="2" l="1"/>
  <c r="BL40" i="2"/>
  <c r="BK64" i="9" l="1"/>
  <c r="BP252" i="10"/>
  <c r="BP81" i="10"/>
  <c r="BP251" i="10"/>
  <c r="BP250" i="10"/>
  <c r="BP230" i="10"/>
  <c r="BO17" i="6"/>
  <c r="BO16" i="6"/>
  <c r="BO31" i="6"/>
  <c r="BO27" i="6"/>
  <c r="BO28" i="6"/>
  <c r="BO29" i="6"/>
  <c r="BO26" i="6"/>
  <c r="BO25" i="6"/>
  <c r="BO24" i="6"/>
  <c r="BO12" i="6"/>
  <c r="BO13" i="6" s="1"/>
  <c r="BO6" i="6"/>
  <c r="BO9" i="6" s="1"/>
  <c r="BP49" i="10"/>
  <c r="BO79" i="8"/>
  <c r="BL81" i="10"/>
  <c r="BL49" i="10"/>
  <c r="BK76" i="9"/>
  <c r="BK35" i="9"/>
  <c r="BL63" i="7"/>
  <c r="BL65" i="7"/>
  <c r="BL46" i="7"/>
  <c r="BL48" i="7" s="1"/>
  <c r="BL31" i="7"/>
  <c r="BL16" i="7"/>
  <c r="BL18" i="7" s="1"/>
  <c r="BK13" i="6"/>
  <c r="BK79" i="8"/>
  <c r="BL78" i="8" s="1"/>
  <c r="BL79" i="8" s="1"/>
  <c r="BK30" i="8"/>
  <c r="BK32" i="8" s="1"/>
  <c r="BK9" i="6"/>
  <c r="BK64" i="5"/>
  <c r="BK47" i="5"/>
  <c r="BK33" i="5"/>
  <c r="BK17" i="5"/>
  <c r="BJ8" i="5"/>
  <c r="BH44" i="2"/>
  <c r="BK13" i="2"/>
  <c r="BK9" i="2"/>
  <c r="BO9" i="2" s="1"/>
  <c r="BO15" i="2" s="1"/>
  <c r="BO22" i="2" s="1"/>
  <c r="BO34" i="2"/>
  <c r="BO31" i="2"/>
  <c r="BO28" i="2"/>
  <c r="BO27" i="2"/>
  <c r="BO26" i="2"/>
  <c r="BO24" i="2"/>
  <c r="BG21" i="8"/>
  <c r="BH21" i="8" s="1"/>
  <c r="BG7" i="8"/>
  <c r="BJ250" i="10"/>
  <c r="BI20" i="8"/>
  <c r="BJ20" i="8" s="1"/>
  <c r="BJ8" i="2"/>
  <c r="BI22" i="9"/>
  <c r="BJ22" i="9" s="1"/>
  <c r="BJ8" i="6"/>
  <c r="BJ6" i="6"/>
  <c r="BJ9" i="6" s="1"/>
  <c r="E49" i="10"/>
  <c r="D49" i="10"/>
  <c r="G49" i="10"/>
  <c r="F49" i="10"/>
  <c r="BK49" i="10"/>
  <c r="BJ49" i="10"/>
  <c r="BI49" i="10"/>
  <c r="BH49" i="10"/>
  <c r="BG49" i="10"/>
  <c r="BF49" i="10"/>
  <c r="BE49" i="10"/>
  <c r="BD49" i="10"/>
  <c r="BC49" i="10"/>
  <c r="BB49" i="10"/>
  <c r="BA49" i="10"/>
  <c r="AZ49" i="10"/>
  <c r="AY49" i="10"/>
  <c r="AX49" i="10"/>
  <c r="AW49" i="10"/>
  <c r="AV49" i="10"/>
  <c r="AU49" i="10"/>
  <c r="AT49" i="10"/>
  <c r="AS49" i="10"/>
  <c r="AR49" i="10"/>
  <c r="AQ49" i="10"/>
  <c r="AP49" i="10"/>
  <c r="AO49" i="10"/>
  <c r="AN49" i="10"/>
  <c r="AM49" i="10"/>
  <c r="AL49" i="10"/>
  <c r="AK49"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K49" i="10"/>
  <c r="J49" i="10"/>
  <c r="I49" i="10"/>
  <c r="H49" i="10"/>
  <c r="BI72" i="9"/>
  <c r="BK252" i="10"/>
  <c r="BK250" i="10" s="1"/>
  <c r="BK251" i="10"/>
  <c r="BK234" i="10"/>
  <c r="BK230" i="10"/>
  <c r="BK226" i="10"/>
  <c r="BJ63" i="7"/>
  <c r="BJ46" i="7"/>
  <c r="BK46" i="7" s="1"/>
  <c r="BJ31" i="7"/>
  <c r="BK31" i="7" s="1"/>
  <c r="BJ16" i="7"/>
  <c r="BK16" i="7" s="1"/>
  <c r="BK64" i="7"/>
  <c r="BK62" i="7"/>
  <c r="BK61" i="7"/>
  <c r="BK60" i="7"/>
  <c r="BK59" i="7"/>
  <c r="BK58" i="7"/>
  <c r="BK57" i="7"/>
  <c r="BK56" i="7"/>
  <c r="BK55" i="7"/>
  <c r="BK53" i="7"/>
  <c r="BK52" i="7"/>
  <c r="BK51" i="7"/>
  <c r="BK50" i="7"/>
  <c r="BK47" i="7"/>
  <c r="BK45" i="7"/>
  <c r="BK44" i="7"/>
  <c r="BK43" i="7"/>
  <c r="BK42" i="7"/>
  <c r="BK41" i="7"/>
  <c r="BK40" i="7"/>
  <c r="BK39" i="7"/>
  <c r="BK38" i="7"/>
  <c r="BK37" i="7"/>
  <c r="BK36" i="7"/>
  <c r="BK30" i="7"/>
  <c r="BK29" i="7"/>
  <c r="BK28" i="7"/>
  <c r="BK27" i="7"/>
  <c r="BK26" i="7"/>
  <c r="BK25" i="7"/>
  <c r="BK24" i="7"/>
  <c r="BK23" i="7"/>
  <c r="BK22" i="7"/>
  <c r="BK21" i="7"/>
  <c r="BK20" i="7"/>
  <c r="BK17" i="7"/>
  <c r="BK15" i="7"/>
  <c r="BK14" i="7"/>
  <c r="BK13" i="7"/>
  <c r="BK12" i="7"/>
  <c r="BK11" i="7"/>
  <c r="BK10" i="7"/>
  <c r="BK9" i="7"/>
  <c r="BK8" i="7"/>
  <c r="BJ35" i="6"/>
  <c r="BI13" i="6"/>
  <c r="BI9" i="6"/>
  <c r="BI15" i="6" s="1"/>
  <c r="BK130" i="10"/>
  <c r="BK129" i="10"/>
  <c r="BK28" i="10"/>
  <c r="BK15" i="10"/>
  <c r="BK14" i="10"/>
  <c r="BK13" i="10"/>
  <c r="BK7" i="10"/>
  <c r="BK141" i="10"/>
  <c r="BK140" i="10"/>
  <c r="BK139" i="10"/>
  <c r="BK138" i="10"/>
  <c r="BK137" i="10"/>
  <c r="BK135" i="10"/>
  <c r="BK175" i="10"/>
  <c r="BJ81" i="10"/>
  <c r="BI46" i="8"/>
  <c r="BJ46" i="8" s="1"/>
  <c r="BI64" i="5"/>
  <c r="BJ64" i="5" s="1"/>
  <c r="BI47" i="5"/>
  <c r="BI33" i="5"/>
  <c r="BJ33" i="5" s="1"/>
  <c r="BI17" i="5"/>
  <c r="BJ17" i="5" s="1"/>
  <c r="BJ31" i="2"/>
  <c r="BJ25" i="2"/>
  <c r="BJ11" i="2"/>
  <c r="BJ65" i="5"/>
  <c r="BJ63" i="5"/>
  <c r="BJ62" i="5"/>
  <c r="BJ61" i="5"/>
  <c r="BJ60" i="5"/>
  <c r="BJ59" i="5"/>
  <c r="BJ58" i="5"/>
  <c r="BJ57" i="5"/>
  <c r="BJ54" i="5"/>
  <c r="BJ53" i="5"/>
  <c r="BJ52" i="5"/>
  <c r="BJ51" i="5"/>
  <c r="BJ48" i="5"/>
  <c r="BJ46" i="5"/>
  <c r="BJ45" i="5"/>
  <c r="BJ44" i="5"/>
  <c r="BJ43" i="5"/>
  <c r="BJ42" i="5"/>
  <c r="BJ41" i="5"/>
  <c r="BJ40" i="5"/>
  <c r="BJ39" i="5"/>
  <c r="BJ38" i="5"/>
  <c r="BJ32" i="5"/>
  <c r="BJ31" i="5"/>
  <c r="BJ30" i="5"/>
  <c r="BJ29" i="5"/>
  <c r="BJ28" i="5"/>
  <c r="BJ27" i="5"/>
  <c r="BJ26" i="5"/>
  <c r="BJ25" i="5"/>
  <c r="BJ24" i="5"/>
  <c r="BJ23" i="5"/>
  <c r="BJ22" i="5"/>
  <c r="BJ21" i="5"/>
  <c r="BJ18" i="5"/>
  <c r="BJ16" i="5"/>
  <c r="BJ15" i="5"/>
  <c r="BJ14" i="5"/>
  <c r="BJ13" i="5"/>
  <c r="BJ12" i="5"/>
  <c r="BJ11" i="5"/>
  <c r="BJ10" i="5"/>
  <c r="BJ9" i="5"/>
  <c r="BI44" i="2"/>
  <c r="BI13" i="2"/>
  <c r="BJ13" i="2" s="1"/>
  <c r="BJ15" i="2" s="1"/>
  <c r="BI9" i="2"/>
  <c r="BJ34" i="2"/>
  <c r="BJ24" i="2"/>
  <c r="BJ16" i="6"/>
  <c r="BK81" i="10"/>
  <c r="BK136" i="10"/>
  <c r="BI81" i="10"/>
  <c r="BK27" i="10"/>
  <c r="BK26" i="10"/>
  <c r="BK25" i="10"/>
  <c r="BK24" i="10"/>
  <c r="BK23" i="10"/>
  <c r="BK22" i="10"/>
  <c r="BK21" i="10"/>
  <c r="BK20" i="10"/>
  <c r="BK19" i="10"/>
  <c r="BK18" i="10"/>
  <c r="BK17" i="10"/>
  <c r="BK16" i="10"/>
  <c r="BK12" i="10"/>
  <c r="BK11" i="10"/>
  <c r="BK10" i="10"/>
  <c r="BK9" i="10"/>
  <c r="BK8" i="10"/>
  <c r="BH67" i="8"/>
  <c r="BI67" i="8" s="1"/>
  <c r="BJ67" i="8" s="1"/>
  <c r="BH59" i="8"/>
  <c r="BH45" i="8"/>
  <c r="BH70" i="9"/>
  <c r="BI70" i="9" s="1"/>
  <c r="BH72" i="9"/>
  <c r="BH53" i="9"/>
  <c r="BI53" i="9" s="1"/>
  <c r="BJ53" i="9" s="1"/>
  <c r="BE53" i="9"/>
  <c r="BH57" i="9"/>
  <c r="BI57" i="9" s="1"/>
  <c r="BJ57" i="9" s="1"/>
  <c r="BH56" i="9"/>
  <c r="BI56" i="9" s="1"/>
  <c r="BJ56" i="9" s="1"/>
  <c r="BG34" i="9"/>
  <c r="BH34" i="9" s="1"/>
  <c r="BI63" i="7"/>
  <c r="BI65" i="7" s="1"/>
  <c r="BI46" i="7"/>
  <c r="BI48" i="7"/>
  <c r="BI54" i="7" s="1"/>
  <c r="BI31" i="7"/>
  <c r="BI16" i="7"/>
  <c r="BH64" i="5"/>
  <c r="BH47" i="5"/>
  <c r="BH49" i="5" s="1"/>
  <c r="BH55" i="5" s="1"/>
  <c r="BH33" i="5"/>
  <c r="BH17" i="5"/>
  <c r="BH19" i="5" s="1"/>
  <c r="BJ12" i="2"/>
  <c r="BH45" i="2"/>
  <c r="BJ16" i="2"/>
  <c r="BJ31" i="6"/>
  <c r="BH46" i="6"/>
  <c r="BH45" i="6"/>
  <c r="BH13" i="6"/>
  <c r="BH9" i="6"/>
  <c r="BH15" i="6" s="1"/>
  <c r="BH13" i="2"/>
  <c r="BH15" i="2" s="1"/>
  <c r="BH22" i="2" s="1"/>
  <c r="BH30" i="2" s="1"/>
  <c r="BH32" i="2" s="1"/>
  <c r="BH9" i="2"/>
  <c r="BG54" i="8"/>
  <c r="BG49" i="8"/>
  <c r="BH49" i="8" s="1"/>
  <c r="BG38" i="8"/>
  <c r="BH38" i="8" s="1"/>
  <c r="BI38" i="8" s="1"/>
  <c r="BG37" i="8"/>
  <c r="BH37" i="8" s="1"/>
  <c r="BI37" i="8" s="1"/>
  <c r="BG23" i="8"/>
  <c r="BG12" i="8"/>
  <c r="BH12" i="8" s="1"/>
  <c r="BI12" i="8" s="1"/>
  <c r="BG38" i="9"/>
  <c r="BH38" i="9" s="1"/>
  <c r="BG23" i="9"/>
  <c r="BH23" i="9" s="1"/>
  <c r="BI23" i="9" s="1"/>
  <c r="BJ23" i="9" s="1"/>
  <c r="BG26" i="9"/>
  <c r="BH26" i="9" s="1"/>
  <c r="BI26" i="9" s="1"/>
  <c r="BJ26" i="9" s="1"/>
  <c r="BG25" i="9"/>
  <c r="BH25" i="9" s="1"/>
  <c r="BI25" i="9" s="1"/>
  <c r="BG13" i="9"/>
  <c r="BH13" i="9" s="1"/>
  <c r="BI13" i="9" s="1"/>
  <c r="BJ13" i="9" s="1"/>
  <c r="BH250" i="10"/>
  <c r="BH81" i="10"/>
  <c r="BG78" i="9"/>
  <c r="BH78" i="9" s="1"/>
  <c r="BG74" i="9"/>
  <c r="BH74" i="9" s="1"/>
  <c r="BG72" i="9"/>
  <c r="BJ72" i="9" s="1"/>
  <c r="BG69" i="9"/>
  <c r="BH69" i="9"/>
  <c r="BI69" i="9" s="1"/>
  <c r="BJ69" i="9" s="1"/>
  <c r="BG68" i="9"/>
  <c r="BG76" i="9" s="1"/>
  <c r="BG60" i="9"/>
  <c r="BH60" i="9" s="1"/>
  <c r="BI60" i="9" s="1"/>
  <c r="BJ60" i="9" s="1"/>
  <c r="BG47" i="9"/>
  <c r="BH47" i="9" s="1"/>
  <c r="BI47" i="9" s="1"/>
  <c r="BG61" i="9"/>
  <c r="BH61" i="9" s="1"/>
  <c r="BI61" i="9" s="1"/>
  <c r="BG54" i="9"/>
  <c r="BH54" i="9" s="1"/>
  <c r="BG55" i="9"/>
  <c r="BH55" i="9" s="1"/>
  <c r="BG59" i="9"/>
  <c r="BH59" i="9" s="1"/>
  <c r="BG46" i="9"/>
  <c r="BH46" i="9" s="1"/>
  <c r="BG58" i="9"/>
  <c r="BH58" i="9" s="1"/>
  <c r="BI58" i="9" s="1"/>
  <c r="BG51" i="9"/>
  <c r="BH51" i="9" s="1"/>
  <c r="BG62" i="9"/>
  <c r="BH62" i="9" s="1"/>
  <c r="BI62" i="9" s="1"/>
  <c r="BJ62" i="9" s="1"/>
  <c r="BG45" i="9"/>
  <c r="BH45" i="9" s="1"/>
  <c r="BG44" i="9"/>
  <c r="BH44" i="9" s="1"/>
  <c r="BI44" i="9" s="1"/>
  <c r="BG43" i="9"/>
  <c r="BH43" i="9" s="1"/>
  <c r="BI43" i="9" s="1"/>
  <c r="BG41" i="9"/>
  <c r="BH41" i="9" s="1"/>
  <c r="BG31" i="9"/>
  <c r="BH31" i="9" s="1"/>
  <c r="BG30" i="9"/>
  <c r="BH30" i="9" s="1"/>
  <c r="BI30" i="9" s="1"/>
  <c r="BJ30" i="9" s="1"/>
  <c r="BG28" i="9"/>
  <c r="BH28" i="9" s="1"/>
  <c r="BI28" i="9" s="1"/>
  <c r="BG21" i="9"/>
  <c r="BH21" i="9" s="1"/>
  <c r="BG18" i="9"/>
  <c r="BH18" i="9" s="1"/>
  <c r="BG20" i="9"/>
  <c r="BH20" i="9" s="1"/>
  <c r="BI20" i="9" s="1"/>
  <c r="BJ20" i="9" s="1"/>
  <c r="BG12" i="9"/>
  <c r="BH12" i="9" s="1"/>
  <c r="BG11" i="9"/>
  <c r="BH11" i="9" s="1"/>
  <c r="BG10" i="9"/>
  <c r="BH10" i="9" s="1"/>
  <c r="BG7" i="9"/>
  <c r="BH7" i="9" s="1"/>
  <c r="BI7" i="9" s="1"/>
  <c r="BJ7" i="9" s="1"/>
  <c r="BH63" i="7"/>
  <c r="BH65" i="7" s="1"/>
  <c r="BH46" i="7"/>
  <c r="BH48" i="7" s="1"/>
  <c r="BH54" i="7" s="1"/>
  <c r="BH31" i="7"/>
  <c r="BF9" i="7"/>
  <c r="BH16" i="7"/>
  <c r="BH18" i="7"/>
  <c r="BH32" i="7" s="1"/>
  <c r="BG46" i="6"/>
  <c r="BG45" i="6"/>
  <c r="BG9" i="6"/>
  <c r="BG13" i="6"/>
  <c r="BG77" i="8"/>
  <c r="BH77" i="8"/>
  <c r="BI77" i="8" s="1"/>
  <c r="BG76" i="8"/>
  <c r="BH76" i="8" s="1"/>
  <c r="BG66" i="8"/>
  <c r="BH66" i="8"/>
  <c r="BG72" i="8"/>
  <c r="BG69" i="8"/>
  <c r="BH69" i="8" s="1"/>
  <c r="BG71" i="8"/>
  <c r="BH71" i="8" s="1"/>
  <c r="BI71" i="8" s="1"/>
  <c r="BG65" i="8"/>
  <c r="BH65" i="8" s="1"/>
  <c r="BI65" i="8" s="1"/>
  <c r="BG55" i="8"/>
  <c r="BH55" i="8" s="1"/>
  <c r="BI55" i="8" s="1"/>
  <c r="BG53" i="8"/>
  <c r="BG51" i="8"/>
  <c r="BG44" i="8"/>
  <c r="BH44" i="8" s="1"/>
  <c r="BG48" i="8"/>
  <c r="BH48" i="8" s="1"/>
  <c r="BG52" i="8"/>
  <c r="BH52" i="8" s="1"/>
  <c r="BI52" i="8" s="1"/>
  <c r="BG50" i="8"/>
  <c r="BH50" i="8" s="1"/>
  <c r="BI50" i="8" s="1"/>
  <c r="BG60" i="8"/>
  <c r="BH60" i="8" s="1"/>
  <c r="BI60" i="8" s="1"/>
  <c r="BG42" i="8"/>
  <c r="BH42" i="8" s="1"/>
  <c r="BI42" i="8" s="1"/>
  <c r="BG41" i="8"/>
  <c r="BH41" i="8" s="1"/>
  <c r="BI41" i="8" s="1"/>
  <c r="BG39" i="8"/>
  <c r="BH39" i="8" s="1"/>
  <c r="BI39" i="8" s="1"/>
  <c r="BG35" i="8"/>
  <c r="BH35" i="8"/>
  <c r="BI35" i="8" s="1"/>
  <c r="BG31" i="8"/>
  <c r="BG28" i="8"/>
  <c r="BG27" i="8"/>
  <c r="BH27" i="8" s="1"/>
  <c r="BG25" i="8"/>
  <c r="BH25" i="8" s="1"/>
  <c r="BG24" i="8"/>
  <c r="BH24" i="8" s="1"/>
  <c r="BI24" i="8" s="1"/>
  <c r="BG19" i="8"/>
  <c r="BH19" i="8" s="1"/>
  <c r="BI19" i="8" s="1"/>
  <c r="BJ19" i="8" s="1"/>
  <c r="BG17" i="8"/>
  <c r="BG13" i="8"/>
  <c r="BH13" i="8" s="1"/>
  <c r="BG11" i="8"/>
  <c r="BH11" i="8" s="1"/>
  <c r="BI11" i="8" s="1"/>
  <c r="BG10" i="8"/>
  <c r="BH10" i="8" s="1"/>
  <c r="BG9" i="8"/>
  <c r="BH9" i="8" s="1"/>
  <c r="BI9" i="8" s="1"/>
  <c r="BG64" i="5"/>
  <c r="BG66" i="5"/>
  <c r="BG67" i="5" s="1"/>
  <c r="BG47" i="5"/>
  <c r="BG49" i="5"/>
  <c r="BG55" i="5" s="1"/>
  <c r="BG33" i="5"/>
  <c r="BG17" i="5"/>
  <c r="BG19" i="5" s="1"/>
  <c r="BG45" i="2"/>
  <c r="BG44" i="2"/>
  <c r="BG13" i="2"/>
  <c r="BG9" i="2"/>
  <c r="BG81" i="10"/>
  <c r="BF76" i="9"/>
  <c r="BJ73" i="9"/>
  <c r="BJ71" i="9"/>
  <c r="BJ67" i="9"/>
  <c r="BF64" i="9"/>
  <c r="BF79" i="9" s="1"/>
  <c r="BF82" i="9" s="1"/>
  <c r="BG80" i="9" s="1"/>
  <c r="BJ52" i="9"/>
  <c r="BJ50" i="9"/>
  <c r="BJ49" i="9"/>
  <c r="BJ48" i="9"/>
  <c r="BJ42" i="9"/>
  <c r="BJ40" i="9"/>
  <c r="BJ39" i="9"/>
  <c r="BF33" i="9"/>
  <c r="BF35" i="9" s="1"/>
  <c r="BJ29" i="9"/>
  <c r="BJ27" i="9"/>
  <c r="BJ19" i="9"/>
  <c r="BJ17" i="9"/>
  <c r="BJ16" i="9"/>
  <c r="BJ15" i="9"/>
  <c r="BJ14" i="9"/>
  <c r="BF74" i="8"/>
  <c r="BF62" i="8"/>
  <c r="BF30" i="8"/>
  <c r="BF32" i="8" s="1"/>
  <c r="BF45" i="2"/>
  <c r="BF44" i="2"/>
  <c r="BJ28" i="2"/>
  <c r="BJ27" i="2"/>
  <c r="BJ26" i="2"/>
  <c r="BJ6" i="2"/>
  <c r="BF64" i="5"/>
  <c r="BF66" i="5" s="1"/>
  <c r="BF47" i="5"/>
  <c r="BF49" i="5" s="1"/>
  <c r="BF55" i="5" s="1"/>
  <c r="BF33" i="5"/>
  <c r="BF17" i="5"/>
  <c r="BF19" i="5"/>
  <c r="BF34" i="5" s="1"/>
  <c r="BG63" i="7"/>
  <c r="BG65" i="7" s="1"/>
  <c r="BG46" i="7"/>
  <c r="BG48" i="7" s="1"/>
  <c r="BG54" i="7" s="1"/>
  <c r="BG31" i="7"/>
  <c r="BG16" i="7"/>
  <c r="BG18" i="7" s="1"/>
  <c r="BG32" i="7" s="1"/>
  <c r="BK167" i="10"/>
  <c r="BK166" i="10"/>
  <c r="BK165" i="10"/>
  <c r="BK164" i="10"/>
  <c r="BK163" i="10"/>
  <c r="BK162" i="10"/>
  <c r="BK161" i="10"/>
  <c r="BK160" i="10"/>
  <c r="BK159" i="10"/>
  <c r="BK158" i="10"/>
  <c r="BK157" i="10"/>
  <c r="BK156" i="10"/>
  <c r="BK155" i="10"/>
  <c r="BK154" i="10"/>
  <c r="BK153" i="10"/>
  <c r="BK152" i="10"/>
  <c r="BK151" i="10"/>
  <c r="BK150" i="10"/>
  <c r="BK149" i="10"/>
  <c r="BK148" i="10"/>
  <c r="BK147" i="10"/>
  <c r="BK146" i="10"/>
  <c r="BK145" i="10"/>
  <c r="BK144" i="10"/>
  <c r="BK143" i="10"/>
  <c r="BK142" i="10"/>
  <c r="BK133" i="10"/>
  <c r="BK132" i="10"/>
  <c r="BK125" i="10"/>
  <c r="BK122" i="10"/>
  <c r="BK121" i="10"/>
  <c r="BK120" i="10"/>
  <c r="BK119" i="10"/>
  <c r="BK118" i="10"/>
  <c r="BK117" i="10"/>
  <c r="BK116" i="10"/>
  <c r="BK115" i="10"/>
  <c r="BK114" i="10"/>
  <c r="BK113" i="10"/>
  <c r="BK112" i="10"/>
  <c r="BK111" i="10"/>
  <c r="BK110" i="10"/>
  <c r="BK109" i="10"/>
  <c r="BK108" i="10"/>
  <c r="BK107" i="10"/>
  <c r="BK106" i="10"/>
  <c r="BK105" i="10"/>
  <c r="BK104" i="10"/>
  <c r="BK103" i="10"/>
  <c r="BK102" i="10"/>
  <c r="BK101" i="10"/>
  <c r="BK100" i="10"/>
  <c r="BK99" i="10"/>
  <c r="BK98" i="10"/>
  <c r="BK97" i="10"/>
  <c r="BK96" i="10"/>
  <c r="BK95" i="10"/>
  <c r="BK94" i="10"/>
  <c r="BK93" i="10"/>
  <c r="BK92" i="10"/>
  <c r="BK91" i="10"/>
  <c r="BK90" i="10"/>
  <c r="BK89" i="10"/>
  <c r="BK88" i="10"/>
  <c r="BK87" i="10"/>
  <c r="BK86" i="10"/>
  <c r="BK85" i="10"/>
  <c r="BK84" i="10"/>
  <c r="BK83" i="10"/>
  <c r="BK82" i="10"/>
  <c r="BK70" i="10"/>
  <c r="BK69" i="10"/>
  <c r="BK68" i="10"/>
  <c r="BK67" i="10"/>
  <c r="BK66" i="10"/>
  <c r="BK65" i="10"/>
  <c r="BK64" i="10"/>
  <c r="BK63" i="10"/>
  <c r="BK62" i="10"/>
  <c r="BK61" i="10"/>
  <c r="BK60" i="10"/>
  <c r="BK59" i="10"/>
  <c r="BK58" i="10"/>
  <c r="BK57" i="10"/>
  <c r="BK56" i="10"/>
  <c r="BK55" i="10"/>
  <c r="BK54" i="10"/>
  <c r="BK53" i="10"/>
  <c r="BK52" i="10"/>
  <c r="BK51" i="10"/>
  <c r="BK50" i="10"/>
  <c r="H252" i="10"/>
  <c r="H251" i="10"/>
  <c r="M252" i="10"/>
  <c r="M251" i="10"/>
  <c r="R252" i="10"/>
  <c r="R251" i="10"/>
  <c r="R250" i="10" s="1"/>
  <c r="W252" i="10"/>
  <c r="W251" i="10"/>
  <c r="AB252" i="10"/>
  <c r="AB251" i="10"/>
  <c r="AG252" i="10"/>
  <c r="AG251" i="10"/>
  <c r="AG250" i="10" s="1"/>
  <c r="AL252" i="10"/>
  <c r="AL250" i="10" s="1"/>
  <c r="AL251" i="10"/>
  <c r="AQ252" i="10"/>
  <c r="AQ251" i="10"/>
  <c r="AV252" i="10"/>
  <c r="AV251" i="10"/>
  <c r="BF46" i="6"/>
  <c r="BF45" i="6"/>
  <c r="BF13" i="6"/>
  <c r="BF9" i="6"/>
  <c r="AZ250" i="10"/>
  <c r="BE250" i="10"/>
  <c r="BA252" i="10"/>
  <c r="BA251" i="10"/>
  <c r="BF252" i="10"/>
  <c r="BF251" i="10"/>
  <c r="BC250" i="10"/>
  <c r="AX250" i="10"/>
  <c r="AU250" i="10"/>
  <c r="AS250" i="10"/>
  <c r="AP250" i="10"/>
  <c r="AN250" i="10"/>
  <c r="AK250" i="10"/>
  <c r="AI250" i="10"/>
  <c r="AF250" i="10"/>
  <c r="AD250" i="10"/>
  <c r="AA250" i="10"/>
  <c r="Z250" i="10"/>
  <c r="Y250" i="10"/>
  <c r="V250" i="10"/>
  <c r="T250" i="10"/>
  <c r="Q250" i="10"/>
  <c r="O250" i="10"/>
  <c r="L250" i="10"/>
  <c r="J250" i="10"/>
  <c r="G250" i="10"/>
  <c r="E250" i="10"/>
  <c r="BJ25" i="6"/>
  <c r="BJ11" i="6"/>
  <c r="BJ28" i="6"/>
  <c r="BJ27" i="6"/>
  <c r="BJ26" i="6"/>
  <c r="BJ24" i="6"/>
  <c r="BJ12" i="6"/>
  <c r="BB69" i="8"/>
  <c r="BC69" i="8" s="1"/>
  <c r="BJ70" i="8"/>
  <c r="BJ68" i="8"/>
  <c r="BJ58" i="8"/>
  <c r="BJ57" i="8"/>
  <c r="BJ56" i="8"/>
  <c r="BJ47" i="8"/>
  <c r="BJ43" i="8"/>
  <c r="BJ40" i="8"/>
  <c r="BJ36" i="8"/>
  <c r="BJ26" i="8"/>
  <c r="BJ18" i="8"/>
  <c r="BJ16" i="8"/>
  <c r="BJ15" i="8"/>
  <c r="BJ14" i="8"/>
  <c r="BF13" i="2"/>
  <c r="BF9" i="2"/>
  <c r="BF15" i="2" s="1"/>
  <c r="BB72" i="8"/>
  <c r="BC72" i="8" s="1"/>
  <c r="BC68" i="8"/>
  <c r="BD68" i="8"/>
  <c r="BE13" i="5"/>
  <c r="BE10" i="5"/>
  <c r="BE31" i="6"/>
  <c r="BE24" i="6"/>
  <c r="AX71" i="9"/>
  <c r="AZ71" i="9" s="1"/>
  <c r="BD22" i="9"/>
  <c r="BE22" i="9" s="1"/>
  <c r="AX68" i="8"/>
  <c r="AZ68" i="8"/>
  <c r="BD20" i="8"/>
  <c r="BE20" i="8" s="1"/>
  <c r="BF175" i="10"/>
  <c r="BF230" i="10"/>
  <c r="BA230" i="10"/>
  <c r="BF226" i="10"/>
  <c r="BF141" i="10"/>
  <c r="BF139" i="10"/>
  <c r="BF137" i="10"/>
  <c r="BF135" i="10"/>
  <c r="BF129" i="10"/>
  <c r="BF130" i="10"/>
  <c r="BE81" i="10"/>
  <c r="BF28" i="10"/>
  <c r="BF15" i="10"/>
  <c r="BF14" i="10"/>
  <c r="BF7" i="10"/>
  <c r="BF13" i="10"/>
  <c r="BD64" i="5"/>
  <c r="BD66" i="5" s="1"/>
  <c r="BE65" i="5"/>
  <c r="BE63" i="5"/>
  <c r="BE62" i="5"/>
  <c r="BE61" i="5"/>
  <c r="BE60" i="5"/>
  <c r="BE59" i="5"/>
  <c r="BE58" i="5"/>
  <c r="BE57" i="5"/>
  <c r="BE54" i="5"/>
  <c r="BE53" i="5"/>
  <c r="BE52" i="5"/>
  <c r="BE51" i="5"/>
  <c r="BD47" i="5"/>
  <c r="BE47" i="5" s="1"/>
  <c r="BE42" i="5"/>
  <c r="BE48" i="5"/>
  <c r="BE46" i="5"/>
  <c r="BE45" i="5"/>
  <c r="BE44" i="5"/>
  <c r="BE43" i="5"/>
  <c r="BE41" i="5"/>
  <c r="BE40" i="5"/>
  <c r="BE39" i="5"/>
  <c r="BE38" i="5"/>
  <c r="BD33" i="5"/>
  <c r="BE33" i="5" s="1"/>
  <c r="BE32" i="5"/>
  <c r="BE31" i="5"/>
  <c r="BE30" i="5"/>
  <c r="BE29" i="5"/>
  <c r="BE27" i="5"/>
  <c r="BE26" i="5"/>
  <c r="BE25" i="5"/>
  <c r="BE24" i="5"/>
  <c r="BE23" i="5"/>
  <c r="BE22" i="5"/>
  <c r="BE21" i="5"/>
  <c r="BD17" i="5"/>
  <c r="BE17" i="5" s="1"/>
  <c r="BE18" i="5"/>
  <c r="BE16" i="5"/>
  <c r="BE15" i="5"/>
  <c r="BE14" i="5"/>
  <c r="BE12" i="5"/>
  <c r="BE11" i="5"/>
  <c r="BE9" i="5"/>
  <c r="BE8" i="5"/>
  <c r="BE45" i="2"/>
  <c r="BE44" i="2"/>
  <c r="BE25" i="2"/>
  <c r="BE24" i="2"/>
  <c r="BE8" i="2"/>
  <c r="BE6" i="2"/>
  <c r="BE9" i="2" s="1"/>
  <c r="BD45" i="2"/>
  <c r="BD44" i="2"/>
  <c r="BD13" i="2"/>
  <c r="BD9" i="2"/>
  <c r="BD15" i="2" s="1"/>
  <c r="BF64" i="7"/>
  <c r="BF62" i="7"/>
  <c r="BE63" i="7"/>
  <c r="BF63" i="7" s="1"/>
  <c r="BF61" i="7"/>
  <c r="BF60" i="7"/>
  <c r="BF59" i="7"/>
  <c r="BF58" i="7"/>
  <c r="BF57" i="7"/>
  <c r="BF56" i="7"/>
  <c r="BF53" i="7"/>
  <c r="BF52" i="7"/>
  <c r="BF51" i="7"/>
  <c r="BF50" i="7"/>
  <c r="BF47" i="7"/>
  <c r="BE46" i="7"/>
  <c r="BE48" i="7" s="1"/>
  <c r="BF45" i="7"/>
  <c r="BF44" i="7"/>
  <c r="BF43" i="7"/>
  <c r="BF42" i="7"/>
  <c r="BF41" i="7"/>
  <c r="BF40" i="7"/>
  <c r="BF39" i="7"/>
  <c r="BF38" i="7"/>
  <c r="BF37" i="7"/>
  <c r="BF36" i="7"/>
  <c r="BE31" i="7"/>
  <c r="BF31" i="7" s="1"/>
  <c r="BF30" i="7"/>
  <c r="BF29" i="7"/>
  <c r="BF28" i="7"/>
  <c r="BF27" i="7"/>
  <c r="BF26" i="7"/>
  <c r="BF25" i="7"/>
  <c r="BF24" i="7"/>
  <c r="BF23" i="7"/>
  <c r="BF22" i="7"/>
  <c r="BF21" i="7"/>
  <c r="BF20" i="7"/>
  <c r="BF15" i="7"/>
  <c r="BE16" i="7"/>
  <c r="BE18" i="7" s="1"/>
  <c r="BF14" i="7"/>
  <c r="BF13" i="7"/>
  <c r="BF12" i="7"/>
  <c r="BF11" i="7"/>
  <c r="BF10" i="7"/>
  <c r="BF8" i="7"/>
  <c r="BE46" i="6"/>
  <c r="BE45" i="6"/>
  <c r="BD46" i="6"/>
  <c r="BD45" i="6"/>
  <c r="BE25" i="6"/>
  <c r="BE11" i="6"/>
  <c r="BD13" i="6"/>
  <c r="BD9" i="6"/>
  <c r="BE82" i="8"/>
  <c r="BC64" i="5"/>
  <c r="BC66" i="5" s="1"/>
  <c r="BE56" i="8"/>
  <c r="BE57" i="8"/>
  <c r="BE58" i="8"/>
  <c r="BC70" i="8"/>
  <c r="BD70" i="8" s="1"/>
  <c r="BC72" i="9"/>
  <c r="BC67" i="9"/>
  <c r="BD67" i="9" s="1"/>
  <c r="BE67" i="9" s="1"/>
  <c r="BF140" i="10"/>
  <c r="BF138" i="10"/>
  <c r="BF81" i="10"/>
  <c r="BD81" i="10"/>
  <c r="BC47" i="5"/>
  <c r="BC49" i="5" s="1"/>
  <c r="BC55" i="5" s="1"/>
  <c r="BC33" i="5"/>
  <c r="AZ28" i="5"/>
  <c r="AZ26" i="5"/>
  <c r="AZ25" i="5"/>
  <c r="AZ27" i="5"/>
  <c r="BC17" i="5"/>
  <c r="BC19" i="5" s="1"/>
  <c r="BC34" i="5" s="1"/>
  <c r="BC45" i="2"/>
  <c r="BC44" i="2"/>
  <c r="BE31" i="2"/>
  <c r="BE12" i="2"/>
  <c r="BE11" i="2"/>
  <c r="BC13" i="2"/>
  <c r="BC9" i="2"/>
  <c r="BD63" i="7"/>
  <c r="BD65" i="7" s="1"/>
  <c r="BD66" i="7" s="1"/>
  <c r="BD46" i="7"/>
  <c r="BD48" i="7" s="1"/>
  <c r="BD54" i="7" s="1"/>
  <c r="BD31" i="7"/>
  <c r="BF17" i="7"/>
  <c r="BD16" i="7"/>
  <c r="BD18" i="7" s="1"/>
  <c r="BE35" i="6"/>
  <c r="BC46" i="6"/>
  <c r="BC45" i="6"/>
  <c r="BC13" i="6"/>
  <c r="BC9" i="6"/>
  <c r="BB71" i="8"/>
  <c r="BC71" i="8" s="1"/>
  <c r="BB41" i="8"/>
  <c r="BB19" i="8"/>
  <c r="BB11" i="8"/>
  <c r="BB76" i="8"/>
  <c r="BB28" i="8"/>
  <c r="BB78" i="9"/>
  <c r="BC78" i="9" s="1"/>
  <c r="BB31" i="9"/>
  <c r="BC31" i="9" s="1"/>
  <c r="BB61" i="9"/>
  <c r="BC61" i="9" s="1"/>
  <c r="BB38" i="9"/>
  <c r="BB23" i="9"/>
  <c r="BC23" i="9" s="1"/>
  <c r="BB20" i="9"/>
  <c r="BC20" i="9" s="1"/>
  <c r="BB66" i="8"/>
  <c r="BC66" i="8"/>
  <c r="BB65" i="8"/>
  <c r="BC65" i="8" s="1"/>
  <c r="BB54" i="8"/>
  <c r="BC54" i="8" s="1"/>
  <c r="BB21" i="8"/>
  <c r="BC21" i="8" s="1"/>
  <c r="BB12" i="8"/>
  <c r="BC12" i="8" s="1"/>
  <c r="BB13" i="8"/>
  <c r="BC13" i="8" s="1"/>
  <c r="BD13" i="8" s="1"/>
  <c r="BB60" i="8"/>
  <c r="BC60" i="8" s="1"/>
  <c r="BB55" i="8"/>
  <c r="BC55" i="8" s="1"/>
  <c r="BD55" i="8" s="1"/>
  <c r="BB53" i="8"/>
  <c r="BC53" i="8"/>
  <c r="BD53" i="8" s="1"/>
  <c r="BB52" i="8"/>
  <c r="BC52" i="8" s="1"/>
  <c r="BB51" i="8"/>
  <c r="BC51" i="8" s="1"/>
  <c r="BB50" i="8"/>
  <c r="BC50" i="8" s="1"/>
  <c r="BB49" i="8"/>
  <c r="BC49" i="8" s="1"/>
  <c r="BB48" i="8"/>
  <c r="BC48" i="8" s="1"/>
  <c r="BB44" i="8"/>
  <c r="BC44" i="8" s="1"/>
  <c r="BB39" i="8"/>
  <c r="BC39" i="8" s="1"/>
  <c r="BB38" i="8"/>
  <c r="BC38" i="8"/>
  <c r="BD38" i="8" s="1"/>
  <c r="BB37" i="8"/>
  <c r="BC37" i="8" s="1"/>
  <c r="BB35" i="8"/>
  <c r="BB31" i="8"/>
  <c r="BC31" i="8" s="1"/>
  <c r="BB27" i="8"/>
  <c r="BC27" i="8" s="1"/>
  <c r="BB25" i="8"/>
  <c r="BC25" i="8" s="1"/>
  <c r="BB24" i="8"/>
  <c r="BC24" i="8" s="1"/>
  <c r="BB23" i="8"/>
  <c r="BC23" i="8" s="1"/>
  <c r="BD23" i="8" s="1"/>
  <c r="BE23" i="8" s="1"/>
  <c r="BB17" i="8"/>
  <c r="BC17" i="8"/>
  <c r="BB10" i="8"/>
  <c r="BC10" i="8" s="1"/>
  <c r="BB9" i="8"/>
  <c r="BB7" i="8"/>
  <c r="BC7" i="8" s="1"/>
  <c r="BC81" i="10"/>
  <c r="BB64" i="5"/>
  <c r="BB66" i="5"/>
  <c r="BB47" i="5"/>
  <c r="BB49" i="5" s="1"/>
  <c r="BB55" i="5" s="1"/>
  <c r="BB33" i="5"/>
  <c r="BB17" i="5"/>
  <c r="BB19" i="5" s="1"/>
  <c r="BB34" i="5" s="1"/>
  <c r="BB45" i="2"/>
  <c r="BB44" i="2"/>
  <c r="BB13" i="2"/>
  <c r="BB9" i="2"/>
  <c r="BB73" i="9"/>
  <c r="BC73" i="9" s="1"/>
  <c r="BD73" i="9" s="1"/>
  <c r="BB74" i="9"/>
  <c r="BB69" i="9"/>
  <c r="BC69" i="9" s="1"/>
  <c r="BB68" i="9"/>
  <c r="BC68" i="9" s="1"/>
  <c r="BB62" i="9"/>
  <c r="BC62" i="9" s="1"/>
  <c r="BB54" i="9"/>
  <c r="BB60" i="9"/>
  <c r="BC60" i="9" s="1"/>
  <c r="BB47" i="9"/>
  <c r="BC47" i="9" s="1"/>
  <c r="BB55" i="9"/>
  <c r="BC55" i="9" s="1"/>
  <c r="BD55" i="9" s="1"/>
  <c r="BE55" i="9" s="1"/>
  <c r="BB59" i="9"/>
  <c r="BC59" i="9" s="1"/>
  <c r="BB46" i="9"/>
  <c r="BC46" i="9" s="1"/>
  <c r="BB58" i="9"/>
  <c r="BC58" i="9" s="1"/>
  <c r="BB51" i="9"/>
  <c r="BC51" i="9" s="1"/>
  <c r="BB45" i="9"/>
  <c r="BB44" i="9"/>
  <c r="BC44" i="9" s="1"/>
  <c r="BD44" i="9" s="1"/>
  <c r="BE44" i="9" s="1"/>
  <c r="BB43" i="9"/>
  <c r="BC43" i="9" s="1"/>
  <c r="BB41" i="9"/>
  <c r="BC41" i="9" s="1"/>
  <c r="BB34" i="9"/>
  <c r="BC34" i="9" s="1"/>
  <c r="BB30" i="9"/>
  <c r="BC30" i="9" s="1"/>
  <c r="BB28" i="9"/>
  <c r="BB26" i="9"/>
  <c r="BC26" i="9" s="1"/>
  <c r="BB25" i="9"/>
  <c r="BB21" i="9"/>
  <c r="BC21" i="9" s="1"/>
  <c r="BB18" i="9"/>
  <c r="BC18" i="9" s="1"/>
  <c r="BD18" i="9" s="1"/>
  <c r="BB11" i="9"/>
  <c r="BC11" i="9" s="1"/>
  <c r="BB13" i="9"/>
  <c r="BB12" i="9"/>
  <c r="BB10" i="9"/>
  <c r="BC10" i="9" s="1"/>
  <c r="BB7" i="9"/>
  <c r="BC7" i="9" s="1"/>
  <c r="BB46" i="6"/>
  <c r="BB45" i="6"/>
  <c r="BB13" i="6"/>
  <c r="BB9" i="6"/>
  <c r="BC63" i="7"/>
  <c r="BC65" i="7" s="1"/>
  <c r="BC46" i="7"/>
  <c r="BC48" i="7" s="1"/>
  <c r="BC54" i="7" s="1"/>
  <c r="BC31" i="7"/>
  <c r="BC16" i="7"/>
  <c r="BC18" i="7" s="1"/>
  <c r="BC32" i="7" s="1"/>
  <c r="BB234" i="10"/>
  <c r="AW234" i="10"/>
  <c r="BB81" i="10"/>
  <c r="BA74" i="8"/>
  <c r="BA62" i="8"/>
  <c r="BE67" i="8"/>
  <c r="BE47" i="8"/>
  <c r="BE46" i="8"/>
  <c r="BE45" i="8"/>
  <c r="BE43" i="8"/>
  <c r="BE42" i="8"/>
  <c r="BE40" i="8"/>
  <c r="BE36" i="8"/>
  <c r="BE26" i="8"/>
  <c r="BE18" i="8"/>
  <c r="BE16" i="8"/>
  <c r="BE15" i="8"/>
  <c r="BE14" i="8"/>
  <c r="BA64" i="5"/>
  <c r="BA66" i="5" s="1"/>
  <c r="BA47" i="5"/>
  <c r="BA49" i="5"/>
  <c r="BA55" i="5" s="1"/>
  <c r="BA67" i="5" s="1"/>
  <c r="BA33" i="5"/>
  <c r="BA8" i="5"/>
  <c r="BA17" i="5"/>
  <c r="BA19" i="5" s="1"/>
  <c r="BA34" i="5" s="1"/>
  <c r="BA45" i="2"/>
  <c r="BA44" i="2"/>
  <c r="BA13" i="2"/>
  <c r="BA76" i="9"/>
  <c r="BA64" i="9"/>
  <c r="BA33" i="9"/>
  <c r="BA35" i="9" s="1"/>
  <c r="BE71" i="9"/>
  <c r="BE70" i="9"/>
  <c r="BE57" i="9"/>
  <c r="BE56" i="9"/>
  <c r="BE52" i="9"/>
  <c r="BE50" i="9"/>
  <c r="BE49" i="9"/>
  <c r="BE48" i="9"/>
  <c r="BE42" i="9"/>
  <c r="BE40" i="9"/>
  <c r="BE39" i="9"/>
  <c r="BE29" i="9"/>
  <c r="BE27" i="9"/>
  <c r="BE19" i="9"/>
  <c r="BE17" i="9"/>
  <c r="BE16" i="9"/>
  <c r="BE15" i="9"/>
  <c r="BE14" i="9"/>
  <c r="BB63" i="7"/>
  <c r="BB65" i="7" s="1"/>
  <c r="BB66" i="7" s="1"/>
  <c r="BB46" i="7"/>
  <c r="BB48" i="7" s="1"/>
  <c r="BB54" i="7" s="1"/>
  <c r="BB31" i="7"/>
  <c r="BB8" i="7"/>
  <c r="BB16" i="7" s="1"/>
  <c r="BB18" i="7" s="1"/>
  <c r="BA46" i="6"/>
  <c r="BA45" i="6"/>
  <c r="BA13" i="6"/>
  <c r="BA9" i="6"/>
  <c r="BA15" i="6" s="1"/>
  <c r="BE12" i="6"/>
  <c r="BE28" i="6"/>
  <c r="BE27" i="6"/>
  <c r="BE26" i="6"/>
  <c r="BE8" i="6"/>
  <c r="BE6" i="6"/>
  <c r="BA9" i="2"/>
  <c r="BA15" i="2" s="1"/>
  <c r="BE34" i="2"/>
  <c r="BE28" i="2"/>
  <c r="BE27" i="2"/>
  <c r="BE26" i="2"/>
  <c r="AZ31" i="6"/>
  <c r="AZ25" i="6"/>
  <c r="AZ8" i="6"/>
  <c r="AZ6" i="6"/>
  <c r="AZ9" i="6" s="1"/>
  <c r="AZ34" i="2"/>
  <c r="AY20" i="8"/>
  <c r="AZ20" i="8" s="1"/>
  <c r="BA130" i="10"/>
  <c r="AZ31" i="2"/>
  <c r="AZ8" i="2"/>
  <c r="AZ6" i="2"/>
  <c r="AZ25" i="2"/>
  <c r="AU25" i="2"/>
  <c r="AZ85" i="9"/>
  <c r="BA184" i="10"/>
  <c r="AZ22" i="9"/>
  <c r="BA141" i="10"/>
  <c r="BA140" i="10"/>
  <c r="BA139" i="10"/>
  <c r="BA138" i="10"/>
  <c r="BA137" i="10"/>
  <c r="BA136" i="10"/>
  <c r="BA135" i="10"/>
  <c r="AV130" i="10"/>
  <c r="BA129" i="10"/>
  <c r="BA226" i="10"/>
  <c r="BA234" i="10"/>
  <c r="BA81" i="10"/>
  <c r="AZ81" i="10"/>
  <c r="BA28" i="10"/>
  <c r="BA15" i="10"/>
  <c r="BA14" i="10"/>
  <c r="BA13" i="10"/>
  <c r="BA12" i="10"/>
  <c r="BA11" i="10"/>
  <c r="BA10" i="10"/>
  <c r="BA9" i="10"/>
  <c r="BA8" i="10"/>
  <c r="BA7" i="10"/>
  <c r="AZ46" i="8"/>
  <c r="AZ45" i="8"/>
  <c r="AZ45" i="2"/>
  <c r="AZ44" i="2"/>
  <c r="AY45" i="2"/>
  <c r="AY44" i="2"/>
  <c r="AY39" i="2" s="1"/>
  <c r="AY13" i="2"/>
  <c r="AZ12" i="2"/>
  <c r="AZ11" i="2"/>
  <c r="AY9" i="2"/>
  <c r="AZ48" i="5"/>
  <c r="AZ65" i="5"/>
  <c r="AY64" i="5"/>
  <c r="AZ64" i="5"/>
  <c r="AZ63" i="5"/>
  <c r="AZ62" i="5"/>
  <c r="AZ61" i="5"/>
  <c r="AZ60" i="5"/>
  <c r="AZ59" i="5"/>
  <c r="AZ58" i="5"/>
  <c r="AZ57" i="5"/>
  <c r="AZ54" i="5"/>
  <c r="AZ53" i="5"/>
  <c r="AZ52" i="5"/>
  <c r="AZ51" i="5"/>
  <c r="AY47" i="5"/>
  <c r="AZ47" i="5" s="1"/>
  <c r="AZ46" i="5"/>
  <c r="AZ45" i="5"/>
  <c r="AZ44" i="5"/>
  <c r="AZ43" i="5"/>
  <c r="AZ42" i="5"/>
  <c r="AZ41" i="5"/>
  <c r="AZ40" i="5"/>
  <c r="AZ39" i="5"/>
  <c r="AZ38" i="5"/>
  <c r="AY33" i="5"/>
  <c r="AZ33" i="5" s="1"/>
  <c r="AZ32" i="5"/>
  <c r="AZ31" i="5"/>
  <c r="AZ30" i="5"/>
  <c r="AZ29" i="5"/>
  <c r="AZ24" i="5"/>
  <c r="AZ23" i="5"/>
  <c r="AZ22" i="5"/>
  <c r="AZ21" i="5"/>
  <c r="AZ18" i="5"/>
  <c r="AY17" i="5"/>
  <c r="AY19" i="5"/>
  <c r="AY34" i="5" s="1"/>
  <c r="AZ34" i="5" s="1"/>
  <c r="AZ13" i="5"/>
  <c r="AZ16" i="5"/>
  <c r="AZ15" i="5"/>
  <c r="AZ14" i="5"/>
  <c r="AZ12" i="5"/>
  <c r="AZ11" i="5"/>
  <c r="AZ10" i="5"/>
  <c r="AZ9" i="5"/>
  <c r="AZ8" i="5"/>
  <c r="AZ46" i="6"/>
  <c r="AZ45" i="6"/>
  <c r="AY46" i="6"/>
  <c r="AY45" i="6"/>
  <c r="AZ24" i="6"/>
  <c r="AZ11" i="6"/>
  <c r="AY13" i="6"/>
  <c r="AZ12" i="6"/>
  <c r="AY9" i="6"/>
  <c r="BA64" i="7"/>
  <c r="AZ63" i="7"/>
  <c r="BA63" i="7" s="1"/>
  <c r="BA62" i="7"/>
  <c r="BA61" i="7"/>
  <c r="BA60" i="7"/>
  <c r="BA59" i="7"/>
  <c r="BA58" i="7"/>
  <c r="BA57" i="7"/>
  <c r="BA56" i="7"/>
  <c r="BA53" i="7"/>
  <c r="BA52" i="7"/>
  <c r="BA51" i="7"/>
  <c r="BA50" i="7"/>
  <c r="BA47" i="7"/>
  <c r="BA30" i="7"/>
  <c r="BA45" i="7"/>
  <c r="AZ46" i="7"/>
  <c r="BA46" i="7" s="1"/>
  <c r="BA44" i="7"/>
  <c r="BA43" i="7"/>
  <c r="BA42" i="7"/>
  <c r="BA41" i="7"/>
  <c r="BA40" i="7"/>
  <c r="BA39" i="7"/>
  <c r="BA38" i="7"/>
  <c r="BA37" i="7"/>
  <c r="BA36" i="7"/>
  <c r="AZ31" i="7"/>
  <c r="BA29" i="7"/>
  <c r="BA28" i="7"/>
  <c r="BA27" i="7"/>
  <c r="BA26" i="7"/>
  <c r="BA25" i="7"/>
  <c r="BA24" i="7"/>
  <c r="BA23" i="7"/>
  <c r="BA22" i="7"/>
  <c r="BA21" i="7"/>
  <c r="BA20" i="7"/>
  <c r="BA15" i="7"/>
  <c r="AZ16" i="7"/>
  <c r="AZ18" i="7" s="1"/>
  <c r="BA18" i="7" s="1"/>
  <c r="BA14" i="7"/>
  <c r="BA13" i="7"/>
  <c r="BA12" i="7"/>
  <c r="BA11" i="7"/>
  <c r="BA10" i="7"/>
  <c r="BA9" i="7"/>
  <c r="BA8" i="7"/>
  <c r="AX70" i="9"/>
  <c r="AY70" i="9" s="1"/>
  <c r="AZ16" i="8"/>
  <c r="AX67" i="9"/>
  <c r="AZ67" i="9" s="1"/>
  <c r="G6" i="2"/>
  <c r="L6" i="2"/>
  <c r="Q6" i="2"/>
  <c r="V6" i="2"/>
  <c r="AA6" i="2"/>
  <c r="AF6" i="2"/>
  <c r="AF9" i="2" s="1"/>
  <c r="AK6" i="2"/>
  <c r="AP6" i="2"/>
  <c r="AU6" i="2"/>
  <c r="AU9" i="2" s="1"/>
  <c r="G8" i="2"/>
  <c r="L8" i="2"/>
  <c r="Q8" i="2"/>
  <c r="V8" i="2"/>
  <c r="AA8" i="2"/>
  <c r="AF8" i="2"/>
  <c r="AK8" i="2"/>
  <c r="AP8" i="2"/>
  <c r="AP9" i="2" s="1"/>
  <c r="AU8" i="2"/>
  <c r="C9" i="2"/>
  <c r="D9" i="2"/>
  <c r="E9" i="2"/>
  <c r="G9" i="2" s="1"/>
  <c r="F9" i="2"/>
  <c r="F15" i="2" s="1"/>
  <c r="H9" i="2"/>
  <c r="H15" i="2" s="1"/>
  <c r="I9" i="2"/>
  <c r="J9" i="2"/>
  <c r="K9" i="2"/>
  <c r="M9" i="2"/>
  <c r="N9" i="2"/>
  <c r="O9" i="2"/>
  <c r="P9" i="2"/>
  <c r="R9" i="2"/>
  <c r="S9" i="2"/>
  <c r="T9" i="2"/>
  <c r="U9" i="2"/>
  <c r="W9" i="2"/>
  <c r="W15" i="2" s="1"/>
  <c r="X9" i="2"/>
  <c r="Y9" i="2"/>
  <c r="Z9" i="2"/>
  <c r="AB9" i="2"/>
  <c r="AC9" i="2"/>
  <c r="AD9" i="2"/>
  <c r="AE9" i="2"/>
  <c r="AG9" i="2"/>
  <c r="AH9" i="2"/>
  <c r="AI9" i="2"/>
  <c r="AI15" i="2" s="1"/>
  <c r="AJ9" i="2"/>
  <c r="AL9" i="2"/>
  <c r="AL15" i="2" s="1"/>
  <c r="AM9" i="2"/>
  <c r="AN9" i="2"/>
  <c r="AO9" i="2"/>
  <c r="AQ9" i="2"/>
  <c r="AR9" i="2"/>
  <c r="AS9" i="2"/>
  <c r="AT9" i="2"/>
  <c r="AV9" i="2"/>
  <c r="AW9" i="2"/>
  <c r="AX9" i="2"/>
  <c r="G11" i="2"/>
  <c r="L11" i="2"/>
  <c r="L13" i="2" s="1"/>
  <c r="Q11" i="2"/>
  <c r="V11" i="2"/>
  <c r="AA11" i="2"/>
  <c r="AF11" i="2"/>
  <c r="AK11" i="2"/>
  <c r="AK13" i="2" s="1"/>
  <c r="AP11" i="2"/>
  <c r="AU11" i="2"/>
  <c r="G12" i="2"/>
  <c r="L12" i="2"/>
  <c r="Q12" i="2"/>
  <c r="Q13" i="2" s="1"/>
  <c r="Q15" i="2" s="1"/>
  <c r="V12" i="2"/>
  <c r="V13" i="2" s="1"/>
  <c r="V15" i="2" s="1"/>
  <c r="AA12" i="2"/>
  <c r="AF12" i="2"/>
  <c r="AK12" i="2"/>
  <c r="AP12" i="2"/>
  <c r="AU12" i="2"/>
  <c r="C13" i="2"/>
  <c r="D13" i="2"/>
  <c r="E13" i="2"/>
  <c r="F13" i="2"/>
  <c r="H13" i="2"/>
  <c r="I13" i="2"/>
  <c r="I15" i="2" s="1"/>
  <c r="J13" i="2"/>
  <c r="J15" i="2" s="1"/>
  <c r="J22" i="2" s="1"/>
  <c r="J30" i="2" s="1"/>
  <c r="J33" i="2" s="1"/>
  <c r="J36" i="2" s="1"/>
  <c r="K13" i="2"/>
  <c r="M13" i="2"/>
  <c r="N13" i="2"/>
  <c r="O13" i="2"/>
  <c r="P13" i="2"/>
  <c r="P15" i="2"/>
  <c r="R13" i="2"/>
  <c r="S13" i="2"/>
  <c r="T13" i="2"/>
  <c r="U13" i="2"/>
  <c r="W13" i="2"/>
  <c r="X13" i="2"/>
  <c r="Y13" i="2"/>
  <c r="Z13" i="2"/>
  <c r="Z15" i="2" s="1"/>
  <c r="AB13" i="2"/>
  <c r="AC13" i="2"/>
  <c r="AD13" i="2"/>
  <c r="AE13" i="2"/>
  <c r="AG13" i="2"/>
  <c r="AH13" i="2"/>
  <c r="AH15" i="2" s="1"/>
  <c r="AI13" i="2"/>
  <c r="AJ13" i="2"/>
  <c r="AJ15" i="2"/>
  <c r="AJ19" i="2" s="1"/>
  <c r="AL13" i="2"/>
  <c r="AM13" i="2"/>
  <c r="AN13" i="2"/>
  <c r="AO13" i="2"/>
  <c r="AQ13" i="2"/>
  <c r="AR13" i="2"/>
  <c r="AS13" i="2"/>
  <c r="AT13" i="2"/>
  <c r="AV13" i="2"/>
  <c r="AW13" i="2"/>
  <c r="AX13" i="2"/>
  <c r="AX15" i="2" s="1"/>
  <c r="G24" i="2"/>
  <c r="L24" i="2"/>
  <c r="Q24" i="2"/>
  <c r="V24" i="2"/>
  <c r="AA24" i="2"/>
  <c r="AF24" i="2"/>
  <c r="AK24" i="2"/>
  <c r="AP24" i="2"/>
  <c r="AU24" i="2"/>
  <c r="AZ24" i="2"/>
  <c r="AF25" i="2"/>
  <c r="AK25" i="2"/>
  <c r="AP25" i="2"/>
  <c r="AA26" i="2"/>
  <c r="AF26" i="2"/>
  <c r="AK26" i="2"/>
  <c r="AP26" i="2"/>
  <c r="AU26" i="2"/>
  <c r="AZ26" i="2"/>
  <c r="AA27" i="2"/>
  <c r="AF27" i="2"/>
  <c r="AK27" i="2"/>
  <c r="AP27" i="2"/>
  <c r="AU27" i="2"/>
  <c r="AZ27" i="2"/>
  <c r="G28" i="2"/>
  <c r="L28" i="2"/>
  <c r="Q28" i="2"/>
  <c r="V28" i="2"/>
  <c r="AA28" i="2"/>
  <c r="AF28" i="2"/>
  <c r="AK28" i="2"/>
  <c r="AP28" i="2"/>
  <c r="AU28" i="2"/>
  <c r="AZ28" i="2"/>
  <c r="G31" i="2"/>
  <c r="L31" i="2"/>
  <c r="Q31" i="2"/>
  <c r="V31" i="2"/>
  <c r="AA31" i="2"/>
  <c r="AF31" i="2"/>
  <c r="AK31" i="2"/>
  <c r="AP31" i="2"/>
  <c r="AU31" i="2"/>
  <c r="AA34" i="2"/>
  <c r="AF34" i="2"/>
  <c r="AK34" i="2"/>
  <c r="AP34" i="2"/>
  <c r="AU34" i="2"/>
  <c r="C44" i="2"/>
  <c r="D44" i="2"/>
  <c r="E44" i="2"/>
  <c r="F44" i="2"/>
  <c r="G44" i="2"/>
  <c r="O44" i="2"/>
  <c r="P44" i="2"/>
  <c r="Q44" i="2"/>
  <c r="R44" i="2"/>
  <c r="S44" i="2"/>
  <c r="T44" i="2"/>
  <c r="U44" i="2"/>
  <c r="V44" i="2"/>
  <c r="W44" i="2"/>
  <c r="X44" i="2"/>
  <c r="Y44" i="2"/>
  <c r="Z44" i="2"/>
  <c r="AA44" i="2"/>
  <c r="AB44" i="2"/>
  <c r="AC44" i="2"/>
  <c r="AE44" i="2"/>
  <c r="AF44" i="2"/>
  <c r="AG44" i="2"/>
  <c r="AH44" i="2"/>
  <c r="AI44" i="2"/>
  <c r="AJ44" i="2"/>
  <c r="AJ39" i="2" s="1"/>
  <c r="AK44" i="2"/>
  <c r="AL44" i="2"/>
  <c r="AM44" i="2"/>
  <c r="AN44" i="2"/>
  <c r="AO44" i="2"/>
  <c r="AP44" i="2"/>
  <c r="AQ44" i="2"/>
  <c r="AR44" i="2"/>
  <c r="AS44" i="2"/>
  <c r="AT44" i="2"/>
  <c r="AU44" i="2"/>
  <c r="AV44" i="2"/>
  <c r="AW44" i="2"/>
  <c r="AX44" i="2"/>
  <c r="C45" i="2"/>
  <c r="D45" i="2"/>
  <c r="E45" i="2"/>
  <c r="F45" i="2"/>
  <c r="G45" i="2"/>
  <c r="O45" i="2"/>
  <c r="P45" i="2"/>
  <c r="Q45" i="2"/>
  <c r="R45" i="2"/>
  <c r="S45" i="2"/>
  <c r="T45" i="2"/>
  <c r="U45" i="2"/>
  <c r="V45" i="2"/>
  <c r="W45" i="2"/>
  <c r="X45" i="2"/>
  <c r="Y45" i="2"/>
  <c r="Z45" i="2"/>
  <c r="AA45" i="2"/>
  <c r="AB45" i="2"/>
  <c r="AC45" i="2"/>
  <c r="AE45" i="2"/>
  <c r="AF45" i="2"/>
  <c r="AG45" i="2"/>
  <c r="AH45" i="2"/>
  <c r="AI45" i="2"/>
  <c r="AJ45" i="2"/>
  <c r="AK45" i="2"/>
  <c r="AL45" i="2"/>
  <c r="AM45" i="2"/>
  <c r="AN45" i="2"/>
  <c r="AO45" i="2"/>
  <c r="AP45" i="2"/>
  <c r="AQ45" i="2"/>
  <c r="AR45" i="2"/>
  <c r="AS45" i="2"/>
  <c r="AT45" i="2"/>
  <c r="AU45" i="2"/>
  <c r="AV45" i="2"/>
  <c r="AW45" i="2"/>
  <c r="AX45" i="2"/>
  <c r="AG8" i="5"/>
  <c r="AG17" i="5" s="1"/>
  <c r="AG19" i="5" s="1"/>
  <c r="AK8" i="5"/>
  <c r="AK17" i="5" s="1"/>
  <c r="AK19" i="5" s="1"/>
  <c r="AP8" i="5"/>
  <c r="AP17" i="5" s="1"/>
  <c r="AP19" i="5" s="1"/>
  <c r="AU8" i="5"/>
  <c r="AV8" i="5"/>
  <c r="AV17" i="5" s="1"/>
  <c r="AV19" i="5" s="1"/>
  <c r="AK9" i="5"/>
  <c r="AP9" i="5"/>
  <c r="AU9" i="5"/>
  <c r="AK10" i="5"/>
  <c r="AP10" i="5"/>
  <c r="AU10" i="5"/>
  <c r="AK11" i="5"/>
  <c r="AP11" i="5"/>
  <c r="AU11" i="5"/>
  <c r="AK12" i="5"/>
  <c r="AP12" i="5"/>
  <c r="AU12" i="5"/>
  <c r="AK13" i="5"/>
  <c r="AP13" i="5"/>
  <c r="AU13" i="5"/>
  <c r="AK14" i="5"/>
  <c r="AP14" i="5"/>
  <c r="AU14" i="5"/>
  <c r="AK15" i="5"/>
  <c r="AP15" i="5"/>
  <c r="AU15" i="5"/>
  <c r="AK16" i="5"/>
  <c r="AP16" i="5"/>
  <c r="AU16" i="5"/>
  <c r="C17" i="5"/>
  <c r="C19" i="5" s="1"/>
  <c r="D17" i="5"/>
  <c r="D19" i="5" s="1"/>
  <c r="E17" i="5"/>
  <c r="E19" i="5" s="1"/>
  <c r="F17" i="5"/>
  <c r="F19" i="5" s="1"/>
  <c r="G17" i="5"/>
  <c r="G19" i="5"/>
  <c r="H17" i="5"/>
  <c r="H19" i="5" s="1"/>
  <c r="I17" i="5"/>
  <c r="I19" i="5" s="1"/>
  <c r="J17" i="5"/>
  <c r="J19" i="5" s="1"/>
  <c r="K17" i="5"/>
  <c r="K19" i="5" s="1"/>
  <c r="L17" i="5"/>
  <c r="L19" i="5" s="1"/>
  <c r="M17" i="5"/>
  <c r="M19" i="5" s="1"/>
  <c r="N17" i="5"/>
  <c r="N19" i="5" s="1"/>
  <c r="O17" i="5"/>
  <c r="O19" i="5" s="1"/>
  <c r="P17" i="5"/>
  <c r="P19" i="5" s="1"/>
  <c r="Q17" i="5"/>
  <c r="Q19" i="5" s="1"/>
  <c r="R17" i="5"/>
  <c r="R19" i="5" s="1"/>
  <c r="S17" i="5"/>
  <c r="S19" i="5" s="1"/>
  <c r="T17" i="5"/>
  <c r="T19" i="5" s="1"/>
  <c r="U17" i="5"/>
  <c r="U19" i="5"/>
  <c r="V17" i="5"/>
  <c r="V19" i="5" s="1"/>
  <c r="W17" i="5"/>
  <c r="W19" i="5" s="1"/>
  <c r="X17" i="5"/>
  <c r="X19" i="5" s="1"/>
  <c r="X34" i="5" s="1"/>
  <c r="Y17" i="5"/>
  <c r="Y19" i="5" s="1"/>
  <c r="Z17" i="5"/>
  <c r="Z19" i="5"/>
  <c r="AA17" i="5"/>
  <c r="AA19" i="5"/>
  <c r="AB17" i="5"/>
  <c r="AB19" i="5" s="1"/>
  <c r="AB34" i="5" s="1"/>
  <c r="AC17" i="5"/>
  <c r="AC19" i="5"/>
  <c r="AD17" i="5"/>
  <c r="AD19" i="5" s="1"/>
  <c r="AE17" i="5"/>
  <c r="AE19" i="5" s="1"/>
  <c r="AF17" i="5"/>
  <c r="AF19" i="5" s="1"/>
  <c r="AH17" i="5"/>
  <c r="AH19" i="5"/>
  <c r="AI17" i="5"/>
  <c r="AI19" i="5"/>
  <c r="AJ17" i="5"/>
  <c r="AJ19" i="5" s="1"/>
  <c r="AL17" i="5"/>
  <c r="AL19" i="5"/>
  <c r="AL34" i="5" s="1"/>
  <c r="AM17" i="5"/>
  <c r="AM19" i="5" s="1"/>
  <c r="AN17" i="5"/>
  <c r="AN19" i="5" s="1"/>
  <c r="AN34" i="5" s="1"/>
  <c r="AO17" i="5"/>
  <c r="AO19" i="5" s="1"/>
  <c r="AO34" i="5" s="1"/>
  <c r="AQ17" i="5"/>
  <c r="AQ19" i="5" s="1"/>
  <c r="AR17" i="5"/>
  <c r="AR19" i="5"/>
  <c r="AS17" i="5"/>
  <c r="AS19" i="5"/>
  <c r="AT17" i="5"/>
  <c r="AT19" i="5" s="1"/>
  <c r="AW17" i="5"/>
  <c r="AW19" i="5"/>
  <c r="AW34" i="5" s="1"/>
  <c r="AX17" i="5"/>
  <c r="AX19" i="5"/>
  <c r="AK18" i="5"/>
  <c r="AP18" i="5"/>
  <c r="AU18" i="5"/>
  <c r="AK21" i="5"/>
  <c r="AP21" i="5"/>
  <c r="AU21" i="5"/>
  <c r="AK22" i="5"/>
  <c r="AP22" i="5"/>
  <c r="AP33" i="5" s="1"/>
  <c r="AU22" i="5"/>
  <c r="AK23" i="5"/>
  <c r="AP23" i="5"/>
  <c r="AU23" i="5"/>
  <c r="AK24" i="5"/>
  <c r="AP24" i="5"/>
  <c r="AU24" i="5"/>
  <c r="AK25" i="5"/>
  <c r="AP25" i="5"/>
  <c r="AU25" i="5"/>
  <c r="AK26" i="5"/>
  <c r="AP26" i="5"/>
  <c r="AU26" i="5"/>
  <c r="AK27" i="5"/>
  <c r="AP27" i="5"/>
  <c r="AU27" i="5"/>
  <c r="AK28" i="5"/>
  <c r="AP28" i="5"/>
  <c r="AU28" i="5"/>
  <c r="AK29" i="5"/>
  <c r="AP29" i="5"/>
  <c r="AU29" i="5"/>
  <c r="AK30" i="5"/>
  <c r="AP30" i="5"/>
  <c r="AU30" i="5"/>
  <c r="AK31" i="5"/>
  <c r="AP31" i="5"/>
  <c r="AU31" i="5"/>
  <c r="AK32" i="5"/>
  <c r="AP32" i="5"/>
  <c r="AU32" i="5"/>
  <c r="C33" i="5"/>
  <c r="D33" i="5"/>
  <c r="E33" i="5"/>
  <c r="F33" i="5"/>
  <c r="G33" i="5"/>
  <c r="G34" i="5" s="1"/>
  <c r="H33" i="5"/>
  <c r="H34" i="5" s="1"/>
  <c r="I33" i="5"/>
  <c r="I34" i="5" s="1"/>
  <c r="J33" i="5"/>
  <c r="K33" i="5"/>
  <c r="L33" i="5"/>
  <c r="M33" i="5"/>
  <c r="N33" i="5"/>
  <c r="O33" i="5"/>
  <c r="P33" i="5"/>
  <c r="P34" i="5" s="1"/>
  <c r="Q33" i="5"/>
  <c r="R33" i="5"/>
  <c r="S33" i="5"/>
  <c r="T33" i="5"/>
  <c r="T34" i="5" s="1"/>
  <c r="U33" i="5"/>
  <c r="V33" i="5"/>
  <c r="W33" i="5"/>
  <c r="W34" i="5" s="1"/>
  <c r="X33" i="5"/>
  <c r="Y33" i="5"/>
  <c r="Z33" i="5"/>
  <c r="Z34" i="5" s="1"/>
  <c r="AA33" i="5"/>
  <c r="AB33" i="5"/>
  <c r="AC33" i="5"/>
  <c r="AD33" i="5"/>
  <c r="AE33" i="5"/>
  <c r="AE34" i="5" s="1"/>
  <c r="AF33" i="5"/>
  <c r="AG33" i="5"/>
  <c r="AH33" i="5"/>
  <c r="AI33" i="5"/>
  <c r="AI34" i="5" s="1"/>
  <c r="AJ33" i="5"/>
  <c r="AL33" i="5"/>
  <c r="AM33" i="5"/>
  <c r="AN33" i="5"/>
  <c r="AO33" i="5"/>
  <c r="AQ33" i="5"/>
  <c r="AR33" i="5"/>
  <c r="AS33" i="5"/>
  <c r="AS34" i="5" s="1"/>
  <c r="AT33" i="5"/>
  <c r="AT34" i="5" s="1"/>
  <c r="AU34" i="5" s="1"/>
  <c r="AV33" i="5"/>
  <c r="AW33" i="5"/>
  <c r="AX33" i="5"/>
  <c r="AK38" i="5"/>
  <c r="AP38" i="5"/>
  <c r="AU38" i="5"/>
  <c r="AK39" i="5"/>
  <c r="AP39" i="5"/>
  <c r="AU39" i="5"/>
  <c r="AK40" i="5"/>
  <c r="AP40" i="5"/>
  <c r="AU40" i="5"/>
  <c r="AK41" i="5"/>
  <c r="AP41" i="5"/>
  <c r="AU41" i="5"/>
  <c r="AK42" i="5"/>
  <c r="AL42" i="5" s="1"/>
  <c r="AL47" i="5" s="1"/>
  <c r="AL49" i="5" s="1"/>
  <c r="AL55" i="5" s="1"/>
  <c r="AP42" i="5"/>
  <c r="AU42" i="5"/>
  <c r="AK43" i="5"/>
  <c r="AP43" i="5"/>
  <c r="AU43" i="5"/>
  <c r="AK44" i="5"/>
  <c r="AP44" i="5"/>
  <c r="AU44" i="5"/>
  <c r="AK45" i="5"/>
  <c r="AP45" i="5"/>
  <c r="AU45" i="5"/>
  <c r="AK46" i="5"/>
  <c r="AP46" i="5"/>
  <c r="AU46" i="5"/>
  <c r="C47" i="5"/>
  <c r="C49" i="5" s="1"/>
  <c r="C55" i="5" s="1"/>
  <c r="D47" i="5"/>
  <c r="D49" i="5" s="1"/>
  <c r="D55" i="5" s="1"/>
  <c r="E47" i="5"/>
  <c r="E49" i="5" s="1"/>
  <c r="E55" i="5" s="1"/>
  <c r="F47" i="5"/>
  <c r="F49" i="5" s="1"/>
  <c r="F55" i="5" s="1"/>
  <c r="G47" i="5"/>
  <c r="G49" i="5" s="1"/>
  <c r="G55" i="5" s="1"/>
  <c r="H47" i="5"/>
  <c r="H49" i="5" s="1"/>
  <c r="H55" i="5" s="1"/>
  <c r="I47" i="5"/>
  <c r="I49" i="5" s="1"/>
  <c r="I55" i="5" s="1"/>
  <c r="J47" i="5"/>
  <c r="J49" i="5" s="1"/>
  <c r="J55" i="5" s="1"/>
  <c r="J67" i="5" s="1"/>
  <c r="K47" i="5"/>
  <c r="K49" i="5" s="1"/>
  <c r="K55" i="5" s="1"/>
  <c r="L47" i="5"/>
  <c r="L49" i="5"/>
  <c r="L55" i="5" s="1"/>
  <c r="M47" i="5"/>
  <c r="M49" i="5" s="1"/>
  <c r="M55" i="5" s="1"/>
  <c r="N47" i="5"/>
  <c r="N49" i="5" s="1"/>
  <c r="N55" i="5" s="1"/>
  <c r="O47" i="5"/>
  <c r="O49" i="5" s="1"/>
  <c r="O55" i="5" s="1"/>
  <c r="P47" i="5"/>
  <c r="P49" i="5" s="1"/>
  <c r="P55" i="5" s="1"/>
  <c r="Q47" i="5"/>
  <c r="Q49" i="5" s="1"/>
  <c r="Q55" i="5" s="1"/>
  <c r="Q67" i="5" s="1"/>
  <c r="R47" i="5"/>
  <c r="R49" i="5" s="1"/>
  <c r="R55" i="5" s="1"/>
  <c r="R67" i="5" s="1"/>
  <c r="S47" i="5"/>
  <c r="S49" i="5" s="1"/>
  <c r="S55" i="5" s="1"/>
  <c r="T47" i="5"/>
  <c r="T49" i="5" s="1"/>
  <c r="T55" i="5" s="1"/>
  <c r="U47" i="5"/>
  <c r="U49" i="5"/>
  <c r="U55" i="5" s="1"/>
  <c r="V47" i="5"/>
  <c r="V49" i="5" s="1"/>
  <c r="V55" i="5"/>
  <c r="W47" i="5"/>
  <c r="W49" i="5" s="1"/>
  <c r="W55" i="5" s="1"/>
  <c r="X47" i="5"/>
  <c r="X49" i="5" s="1"/>
  <c r="X55" i="5" s="1"/>
  <c r="Y47" i="5"/>
  <c r="Y49" i="5" s="1"/>
  <c r="Y55" i="5" s="1"/>
  <c r="Z47" i="5"/>
  <c r="Z49" i="5"/>
  <c r="Z55" i="5"/>
  <c r="Z67" i="5" s="1"/>
  <c r="AA47" i="5"/>
  <c r="AA49" i="5" s="1"/>
  <c r="AB47" i="5"/>
  <c r="AB49" i="5" s="1"/>
  <c r="AB55" i="5" s="1"/>
  <c r="AC47" i="5"/>
  <c r="AC49" i="5" s="1"/>
  <c r="AC55" i="5" s="1"/>
  <c r="AD47" i="5"/>
  <c r="AD49" i="5" s="1"/>
  <c r="AD55" i="5" s="1"/>
  <c r="AE47" i="5"/>
  <c r="AE49" i="5" s="1"/>
  <c r="AE55" i="5" s="1"/>
  <c r="AF47" i="5"/>
  <c r="AF49" i="5" s="1"/>
  <c r="AG47" i="5"/>
  <c r="AG49" i="5" s="1"/>
  <c r="AG55" i="5" s="1"/>
  <c r="AH47" i="5"/>
  <c r="AH49" i="5"/>
  <c r="AH55" i="5" s="1"/>
  <c r="AI47" i="5"/>
  <c r="AI49" i="5" s="1"/>
  <c r="AI55" i="5" s="1"/>
  <c r="AJ47" i="5"/>
  <c r="AJ49" i="5" s="1"/>
  <c r="AJ55" i="5" s="1"/>
  <c r="AK55" i="5" s="1"/>
  <c r="AM47" i="5"/>
  <c r="AM49" i="5"/>
  <c r="AM55" i="5"/>
  <c r="AN47" i="5"/>
  <c r="AN49" i="5"/>
  <c r="AN55" i="5" s="1"/>
  <c r="AO47" i="5"/>
  <c r="AO49" i="5"/>
  <c r="AO55" i="5" s="1"/>
  <c r="AQ47" i="5"/>
  <c r="AQ49" i="5" s="1"/>
  <c r="AQ55" i="5" s="1"/>
  <c r="AR47" i="5"/>
  <c r="AR49" i="5"/>
  <c r="AR55" i="5" s="1"/>
  <c r="AR67" i="5" s="1"/>
  <c r="AS47" i="5"/>
  <c r="AS49" i="5"/>
  <c r="AS55" i="5" s="1"/>
  <c r="AT47" i="5"/>
  <c r="AU47" i="5"/>
  <c r="AV47" i="5"/>
  <c r="AV49" i="5" s="1"/>
  <c r="AV55" i="5" s="1"/>
  <c r="AV67" i="5" s="1"/>
  <c r="AW47" i="5"/>
  <c r="AW49" i="5" s="1"/>
  <c r="AW55" i="5" s="1"/>
  <c r="AX47" i="5"/>
  <c r="AX49" i="5" s="1"/>
  <c r="AX55" i="5" s="1"/>
  <c r="AK48" i="5"/>
  <c r="AP48" i="5"/>
  <c r="AU48" i="5"/>
  <c r="AK51" i="5"/>
  <c r="AP51" i="5"/>
  <c r="AU51" i="5"/>
  <c r="AK52" i="5"/>
  <c r="AP52" i="5"/>
  <c r="AU52" i="5"/>
  <c r="AK53" i="5"/>
  <c r="AP53" i="5"/>
  <c r="AU53" i="5"/>
  <c r="AK54" i="5"/>
  <c r="AP54" i="5"/>
  <c r="AU54" i="5"/>
  <c r="AK57" i="5"/>
  <c r="AP57" i="5"/>
  <c r="AP64" i="5" s="1"/>
  <c r="AP66" i="5" s="1"/>
  <c r="AU57" i="5"/>
  <c r="AK58" i="5"/>
  <c r="AP58" i="5"/>
  <c r="AU58" i="5"/>
  <c r="AK59" i="5"/>
  <c r="AP59" i="5"/>
  <c r="AU59" i="5"/>
  <c r="AK60" i="5"/>
  <c r="AP60" i="5"/>
  <c r="AU60" i="5"/>
  <c r="AK61" i="5"/>
  <c r="AP61" i="5"/>
  <c r="AU61" i="5"/>
  <c r="AK62" i="5"/>
  <c r="AP62" i="5"/>
  <c r="AU62" i="5"/>
  <c r="AK63" i="5"/>
  <c r="AP63" i="5"/>
  <c r="AU63" i="5"/>
  <c r="C64" i="5"/>
  <c r="C66" i="5" s="1"/>
  <c r="D64" i="5"/>
  <c r="E64" i="5"/>
  <c r="F64" i="5"/>
  <c r="F66" i="5" s="1"/>
  <c r="G64" i="5"/>
  <c r="H64" i="5"/>
  <c r="I64" i="5"/>
  <c r="I66" i="5" s="1"/>
  <c r="J64" i="5"/>
  <c r="J66" i="5" s="1"/>
  <c r="K64" i="5"/>
  <c r="K66" i="5" s="1"/>
  <c r="L64" i="5"/>
  <c r="L66" i="5" s="1"/>
  <c r="M64" i="5"/>
  <c r="N64" i="5"/>
  <c r="O64" i="5"/>
  <c r="O66" i="5" s="1"/>
  <c r="P64" i="5"/>
  <c r="P66" i="5" s="1"/>
  <c r="Q64" i="5"/>
  <c r="Q66" i="5" s="1"/>
  <c r="R64" i="5"/>
  <c r="S64" i="5"/>
  <c r="T64" i="5"/>
  <c r="T66" i="5" s="1"/>
  <c r="U64" i="5"/>
  <c r="U66" i="5" s="1"/>
  <c r="V64" i="5"/>
  <c r="V66" i="5"/>
  <c r="V67" i="5" s="1"/>
  <c r="W64" i="5"/>
  <c r="W66" i="5" s="1"/>
  <c r="X64" i="5"/>
  <c r="X66" i="5" s="1"/>
  <c r="Y64" i="5"/>
  <c r="Y66" i="5" s="1"/>
  <c r="Y67" i="5" s="1"/>
  <c r="Z64" i="5"/>
  <c r="Z66" i="5" s="1"/>
  <c r="AB64" i="5"/>
  <c r="AB66" i="5" s="1"/>
  <c r="AB67" i="5" s="1"/>
  <c r="AC64" i="5"/>
  <c r="AC66" i="5" s="1"/>
  <c r="AD64" i="5"/>
  <c r="AD66" i="5"/>
  <c r="AE64" i="5"/>
  <c r="AE66" i="5" s="1"/>
  <c r="AE67" i="5" s="1"/>
  <c r="AG64" i="5"/>
  <c r="AG66" i="5"/>
  <c r="AG67" i="5" s="1"/>
  <c r="AH64" i="5"/>
  <c r="AH66" i="5" s="1"/>
  <c r="AI64" i="5"/>
  <c r="AI66" i="5" s="1"/>
  <c r="AJ64" i="5"/>
  <c r="AJ66" i="5" s="1"/>
  <c r="AK66" i="5" s="1"/>
  <c r="AL64" i="5"/>
  <c r="AL66" i="5" s="1"/>
  <c r="AM64" i="5"/>
  <c r="AM66" i="5" s="1"/>
  <c r="AM67" i="5" s="1"/>
  <c r="AN64" i="5"/>
  <c r="AN66" i="5" s="1"/>
  <c r="AO64" i="5"/>
  <c r="AO66" i="5" s="1"/>
  <c r="AO67" i="5" s="1"/>
  <c r="AQ64" i="5"/>
  <c r="AQ66" i="5"/>
  <c r="AR64" i="5"/>
  <c r="AR66" i="5" s="1"/>
  <c r="AS64" i="5"/>
  <c r="AS66" i="5"/>
  <c r="AT64" i="5"/>
  <c r="AT66" i="5"/>
  <c r="AV64" i="5"/>
  <c r="AV66" i="5"/>
  <c r="AW64" i="5"/>
  <c r="AW66" i="5"/>
  <c r="AX64" i="5"/>
  <c r="AX66" i="5"/>
  <c r="AX67" i="5" s="1"/>
  <c r="AK65" i="5"/>
  <c r="AP65" i="5"/>
  <c r="AU65" i="5"/>
  <c r="G6" i="6"/>
  <c r="L6" i="6"/>
  <c r="Q6" i="6"/>
  <c r="V6" i="6"/>
  <c r="AA6" i="6"/>
  <c r="AA9" i="6" s="1"/>
  <c r="AF6" i="6"/>
  <c r="AK6" i="6"/>
  <c r="AK9" i="6" s="1"/>
  <c r="AP6" i="6"/>
  <c r="AU6" i="6"/>
  <c r="G8" i="6"/>
  <c r="L8" i="6"/>
  <c r="Q8" i="6"/>
  <c r="V8" i="6"/>
  <c r="AA8" i="6"/>
  <c r="AF8" i="6"/>
  <c r="AK8" i="6"/>
  <c r="AP8" i="6"/>
  <c r="AU8" i="6"/>
  <c r="C9" i="6"/>
  <c r="D9" i="6"/>
  <c r="E9" i="6"/>
  <c r="E15" i="6" s="1"/>
  <c r="E19" i="6" s="1"/>
  <c r="F9" i="6"/>
  <c r="H9" i="6"/>
  <c r="I9" i="6"/>
  <c r="I15" i="6" s="1"/>
  <c r="J9" i="6"/>
  <c r="K9" i="6"/>
  <c r="M9" i="6"/>
  <c r="N9" i="6"/>
  <c r="O9" i="6"/>
  <c r="P9" i="6"/>
  <c r="R9" i="6"/>
  <c r="S9" i="6"/>
  <c r="V9" i="6" s="1"/>
  <c r="T9" i="6"/>
  <c r="U9" i="6"/>
  <c r="W9" i="6"/>
  <c r="X9" i="6"/>
  <c r="Y9" i="6"/>
  <c r="Z9" i="6"/>
  <c r="AB9" i="6"/>
  <c r="AC9" i="6"/>
  <c r="AD9" i="6"/>
  <c r="AE9" i="6"/>
  <c r="AG9" i="6"/>
  <c r="AH9" i="6"/>
  <c r="AH15" i="6" s="1"/>
  <c r="AI9" i="6"/>
  <c r="AJ9" i="6"/>
  <c r="AL9" i="6"/>
  <c r="AM9" i="6"/>
  <c r="AN9" i="6"/>
  <c r="AO9" i="6"/>
  <c r="AQ9" i="6"/>
  <c r="AR9" i="6"/>
  <c r="AS9" i="6"/>
  <c r="AT9" i="6"/>
  <c r="AV9" i="6"/>
  <c r="AW9" i="6"/>
  <c r="AW15" i="6" s="1"/>
  <c r="AX9" i="6"/>
  <c r="G11" i="6"/>
  <c r="L11" i="6"/>
  <c r="Q11" i="6"/>
  <c r="V11" i="6"/>
  <c r="AA11" i="6"/>
  <c r="AF11" i="6"/>
  <c r="AF13" i="6" s="1"/>
  <c r="AK11" i="6"/>
  <c r="AP11" i="6"/>
  <c r="AU11" i="6"/>
  <c r="AU13" i="6" s="1"/>
  <c r="AU15" i="6" s="1"/>
  <c r="AU30" i="6" s="1"/>
  <c r="AU33" i="6" s="1"/>
  <c r="AU37" i="6" s="1"/>
  <c r="G12" i="6"/>
  <c r="L12" i="6"/>
  <c r="Q12" i="6"/>
  <c r="Q13" i="6" s="1"/>
  <c r="V12" i="6"/>
  <c r="AA12" i="6"/>
  <c r="AF12" i="6"/>
  <c r="AK12" i="6"/>
  <c r="AK13" i="6" s="1"/>
  <c r="AP12" i="6"/>
  <c r="AP13" i="6" s="1"/>
  <c r="AU12" i="6"/>
  <c r="C13" i="6"/>
  <c r="D13" i="6"/>
  <c r="D15" i="6" s="1"/>
  <c r="E13" i="6"/>
  <c r="F13" i="6"/>
  <c r="F15" i="6" s="1"/>
  <c r="H13" i="6"/>
  <c r="H15" i="6" s="1"/>
  <c r="I13" i="6"/>
  <c r="J13" i="6"/>
  <c r="K13" i="6"/>
  <c r="M13" i="6"/>
  <c r="N13" i="6"/>
  <c r="O13" i="6"/>
  <c r="P13" i="6"/>
  <c r="R13" i="6"/>
  <c r="R15" i="6" s="1"/>
  <c r="S13" i="6"/>
  <c r="S15" i="6" s="1"/>
  <c r="V15" i="6" s="1"/>
  <c r="V19" i="6" s="1"/>
  <c r="T13" i="6"/>
  <c r="U13" i="6"/>
  <c r="W13" i="6"/>
  <c r="X13" i="6"/>
  <c r="Y13" i="6"/>
  <c r="Z13" i="6"/>
  <c r="AB13" i="6"/>
  <c r="AC13" i="6"/>
  <c r="AD13" i="6"/>
  <c r="AE13" i="6"/>
  <c r="AG13" i="6"/>
  <c r="AH13" i="6"/>
  <c r="AI13" i="6"/>
  <c r="AJ13" i="6"/>
  <c r="AL13" i="6"/>
  <c r="AM13" i="6"/>
  <c r="AN13" i="6"/>
  <c r="AO13" i="6"/>
  <c r="AQ13" i="6"/>
  <c r="AR13" i="6"/>
  <c r="AS13" i="6"/>
  <c r="AT13" i="6"/>
  <c r="AV13" i="6"/>
  <c r="AW13" i="6"/>
  <c r="AX13" i="6"/>
  <c r="G22" i="6"/>
  <c r="L22" i="6"/>
  <c r="Q22" i="6"/>
  <c r="V22" i="6"/>
  <c r="AA22" i="6"/>
  <c r="AF22" i="6"/>
  <c r="G23" i="6"/>
  <c r="L23" i="6"/>
  <c r="Q23" i="6"/>
  <c r="U23" i="6"/>
  <c r="V23" i="6" s="1"/>
  <c r="AA23" i="6"/>
  <c r="AF23" i="6"/>
  <c r="G24" i="6"/>
  <c r="L24" i="6"/>
  <c r="Q24" i="6"/>
  <c r="V24" i="6"/>
  <c r="AA24" i="6"/>
  <c r="AF24" i="6"/>
  <c r="AK24" i="6"/>
  <c r="AP24" i="6"/>
  <c r="AU24" i="6"/>
  <c r="AF25" i="6"/>
  <c r="AK25" i="6"/>
  <c r="AP25" i="6"/>
  <c r="AU25" i="6"/>
  <c r="V26" i="6"/>
  <c r="AA26" i="6"/>
  <c r="AF26" i="6"/>
  <c r="AK26" i="6"/>
  <c r="AP26" i="6"/>
  <c r="AU26" i="6"/>
  <c r="AZ26" i="6"/>
  <c r="AA27" i="6"/>
  <c r="AF27" i="6"/>
  <c r="AK27" i="6"/>
  <c r="AP27" i="6"/>
  <c r="AU27" i="6"/>
  <c r="AZ27" i="6"/>
  <c r="V28" i="6"/>
  <c r="AA28" i="6"/>
  <c r="AF28" i="6"/>
  <c r="AK28" i="6"/>
  <c r="AP28" i="6"/>
  <c r="AU28" i="6"/>
  <c r="AZ28" i="6"/>
  <c r="G31" i="6"/>
  <c r="L31" i="6"/>
  <c r="Q31" i="6"/>
  <c r="V31" i="6"/>
  <c r="AA31" i="6"/>
  <c r="AF31" i="6"/>
  <c r="AK31" i="6"/>
  <c r="AP31" i="6"/>
  <c r="AU31" i="6"/>
  <c r="AA35" i="6"/>
  <c r="AF35" i="6"/>
  <c r="AK35" i="6"/>
  <c r="AP35" i="6"/>
  <c r="AU35" i="6"/>
  <c r="AZ35" i="6"/>
  <c r="C45" i="6"/>
  <c r="D45" i="6"/>
  <c r="E45" i="6"/>
  <c r="F45" i="6"/>
  <c r="G45" i="6"/>
  <c r="O45" i="6"/>
  <c r="P45" i="6"/>
  <c r="Q45" i="6"/>
  <c r="R45" i="6"/>
  <c r="S45" i="6"/>
  <c r="T45" i="6"/>
  <c r="U45" i="6"/>
  <c r="V45" i="6"/>
  <c r="W45" i="6"/>
  <c r="X45" i="6"/>
  <c r="Y45" i="6"/>
  <c r="Z45" i="6"/>
  <c r="AA45" i="6"/>
  <c r="AB45" i="6"/>
  <c r="AC45" i="6"/>
  <c r="AE45" i="6"/>
  <c r="AF45" i="6"/>
  <c r="AG45" i="6"/>
  <c r="AH45" i="6"/>
  <c r="AI45" i="6"/>
  <c r="AJ45" i="6"/>
  <c r="AK45" i="6"/>
  <c r="AL45" i="6"/>
  <c r="AM45" i="6"/>
  <c r="AN45" i="6"/>
  <c r="AO45" i="6"/>
  <c r="AP45" i="6"/>
  <c r="AQ45" i="6"/>
  <c r="AR45" i="6"/>
  <c r="AS45" i="6"/>
  <c r="AT45" i="6"/>
  <c r="AU45" i="6"/>
  <c r="AV45" i="6"/>
  <c r="AW45" i="6"/>
  <c r="AX45" i="6"/>
  <c r="C46" i="6"/>
  <c r="D46" i="6"/>
  <c r="E46" i="6"/>
  <c r="F46" i="6"/>
  <c r="G46" i="6"/>
  <c r="O46" i="6"/>
  <c r="P46" i="6"/>
  <c r="Q46" i="6"/>
  <c r="R46" i="6"/>
  <c r="S46" i="6"/>
  <c r="T46" i="6"/>
  <c r="U46" i="6"/>
  <c r="V46" i="6"/>
  <c r="W46" i="6"/>
  <c r="X46" i="6"/>
  <c r="Y46" i="6"/>
  <c r="Z46" i="6"/>
  <c r="AA46" i="6"/>
  <c r="AB46" i="6"/>
  <c r="AC46" i="6"/>
  <c r="AE46" i="6"/>
  <c r="AF46" i="6"/>
  <c r="AG46" i="6"/>
  <c r="AH46" i="6"/>
  <c r="AI46" i="6"/>
  <c r="AJ46" i="6"/>
  <c r="AK46" i="6"/>
  <c r="AL46" i="6"/>
  <c r="AM46" i="6"/>
  <c r="AN46" i="6"/>
  <c r="AO46" i="6"/>
  <c r="AP46" i="6"/>
  <c r="AQ46" i="6"/>
  <c r="AR46" i="6"/>
  <c r="AS46" i="6"/>
  <c r="AT46" i="6"/>
  <c r="AU46" i="6"/>
  <c r="AV46" i="6"/>
  <c r="AW46" i="6"/>
  <c r="AX46" i="6"/>
  <c r="AH8" i="7"/>
  <c r="AH16" i="7" s="1"/>
  <c r="AH18" i="7" s="1"/>
  <c r="AL8" i="7"/>
  <c r="AQ8" i="7"/>
  <c r="AV8" i="7"/>
  <c r="AW8" i="7"/>
  <c r="AW16" i="7" s="1"/>
  <c r="AW18" i="7" s="1"/>
  <c r="AL9" i="7"/>
  <c r="AQ9" i="7"/>
  <c r="AV9" i="7"/>
  <c r="AL10" i="7"/>
  <c r="AQ10" i="7"/>
  <c r="AV10" i="7"/>
  <c r="AL11" i="7"/>
  <c r="AQ11" i="7"/>
  <c r="AV11" i="7"/>
  <c r="AL12" i="7"/>
  <c r="AQ12" i="7"/>
  <c r="AV12" i="7"/>
  <c r="AL13" i="7"/>
  <c r="AQ13" i="7"/>
  <c r="AV13" i="7"/>
  <c r="AL14" i="7"/>
  <c r="AQ14" i="7"/>
  <c r="AV14" i="7"/>
  <c r="AL15" i="7"/>
  <c r="AQ15" i="7"/>
  <c r="AV15" i="7"/>
  <c r="D16" i="7"/>
  <c r="D18" i="7" s="1"/>
  <c r="E16" i="7"/>
  <c r="E18" i="7" s="1"/>
  <c r="F16" i="7"/>
  <c r="F18" i="7" s="1"/>
  <c r="G16" i="7"/>
  <c r="G18" i="7" s="1"/>
  <c r="H16" i="7"/>
  <c r="H18" i="7" s="1"/>
  <c r="I16" i="7"/>
  <c r="I18" i="7" s="1"/>
  <c r="J16" i="7"/>
  <c r="J18" i="7" s="1"/>
  <c r="K16" i="7"/>
  <c r="K18" i="7" s="1"/>
  <c r="L16" i="7"/>
  <c r="L18" i="7" s="1"/>
  <c r="M16" i="7"/>
  <c r="M18" i="7" s="1"/>
  <c r="N16" i="7"/>
  <c r="N18" i="7" s="1"/>
  <c r="O16" i="7"/>
  <c r="O18" i="7" s="1"/>
  <c r="P16" i="7"/>
  <c r="P18" i="7" s="1"/>
  <c r="Q16" i="7"/>
  <c r="Q18" i="7" s="1"/>
  <c r="R16" i="7"/>
  <c r="R18" i="7" s="1"/>
  <c r="S16" i="7"/>
  <c r="S18" i="7" s="1"/>
  <c r="T16" i="7"/>
  <c r="T18" i="7" s="1"/>
  <c r="U16" i="7"/>
  <c r="U18" i="7" s="1"/>
  <c r="V16" i="7"/>
  <c r="V18" i="7" s="1"/>
  <c r="W16" i="7"/>
  <c r="W18" i="7" s="1"/>
  <c r="X16" i="7"/>
  <c r="X18" i="7" s="1"/>
  <c r="Y16" i="7"/>
  <c r="Y18" i="7" s="1"/>
  <c r="Z16" i="7"/>
  <c r="Z18" i="7" s="1"/>
  <c r="AA16" i="7"/>
  <c r="AA18" i="7" s="1"/>
  <c r="AB16" i="7"/>
  <c r="AB18" i="7" s="1"/>
  <c r="AC16" i="7"/>
  <c r="AC18" i="7"/>
  <c r="AD16" i="7"/>
  <c r="AD18" i="7" s="1"/>
  <c r="AE16" i="7"/>
  <c r="AE18" i="7" s="1"/>
  <c r="AE32" i="7" s="1"/>
  <c r="AF16" i="7"/>
  <c r="AF18" i="7" s="1"/>
  <c r="AG16" i="7"/>
  <c r="AG18" i="7" s="1"/>
  <c r="AI16" i="7"/>
  <c r="AI18" i="7" s="1"/>
  <c r="AJ16" i="7"/>
  <c r="AJ18" i="7" s="1"/>
  <c r="AK16" i="7"/>
  <c r="AK18" i="7" s="1"/>
  <c r="AM16" i="7"/>
  <c r="AM18" i="7" s="1"/>
  <c r="AN16" i="7"/>
  <c r="AN18" i="7" s="1"/>
  <c r="AO16" i="7"/>
  <c r="AO18" i="7" s="1"/>
  <c r="AP16" i="7"/>
  <c r="AQ16" i="7" s="1"/>
  <c r="AR16" i="7"/>
  <c r="AR18" i="7" s="1"/>
  <c r="AS16" i="7"/>
  <c r="AS18" i="7"/>
  <c r="AS32" i="7" s="1"/>
  <c r="AT16" i="7"/>
  <c r="AT18" i="7" s="1"/>
  <c r="AT32" i="7" s="1"/>
  <c r="AU16" i="7"/>
  <c r="AV16" i="7" s="1"/>
  <c r="AX16" i="7"/>
  <c r="AX18" i="7" s="1"/>
  <c r="AY16" i="7"/>
  <c r="AY18" i="7" s="1"/>
  <c r="AL17" i="7"/>
  <c r="AQ17" i="7"/>
  <c r="AV17" i="7"/>
  <c r="BA17" i="7"/>
  <c r="AL20" i="7"/>
  <c r="AQ20" i="7"/>
  <c r="AV20" i="7"/>
  <c r="AL21" i="7"/>
  <c r="AQ21" i="7"/>
  <c r="AV21" i="7"/>
  <c r="AL22" i="7"/>
  <c r="AQ22" i="7"/>
  <c r="AV22" i="7"/>
  <c r="AL23" i="7"/>
  <c r="AQ23" i="7"/>
  <c r="AV23" i="7"/>
  <c r="AL24" i="7"/>
  <c r="AQ24" i="7"/>
  <c r="AV24" i="7"/>
  <c r="AL25" i="7"/>
  <c r="AQ25" i="7"/>
  <c r="AV25" i="7"/>
  <c r="AL26" i="7"/>
  <c r="AQ26" i="7"/>
  <c r="AV26" i="7"/>
  <c r="AL27" i="7"/>
  <c r="AQ27" i="7"/>
  <c r="AV27" i="7"/>
  <c r="AL28" i="7"/>
  <c r="AQ28" i="7"/>
  <c r="AV28" i="7"/>
  <c r="AL29" i="7"/>
  <c r="AQ29" i="7"/>
  <c r="AV29" i="7"/>
  <c r="AL30" i="7"/>
  <c r="AQ30" i="7"/>
  <c r="AV30" i="7"/>
  <c r="D31" i="7"/>
  <c r="E31" i="7"/>
  <c r="F31" i="7"/>
  <c r="G31" i="7"/>
  <c r="H31" i="7"/>
  <c r="I31" i="7"/>
  <c r="J31" i="7"/>
  <c r="K31" i="7"/>
  <c r="L31" i="7"/>
  <c r="M31" i="7"/>
  <c r="N31" i="7"/>
  <c r="N32" i="7" s="1"/>
  <c r="O31" i="7"/>
  <c r="P31" i="7"/>
  <c r="Q31" i="7"/>
  <c r="R31" i="7"/>
  <c r="S31" i="7"/>
  <c r="T31" i="7"/>
  <c r="U31" i="7"/>
  <c r="V31" i="7"/>
  <c r="W31" i="7"/>
  <c r="X31" i="7"/>
  <c r="Y31" i="7"/>
  <c r="Z31" i="7"/>
  <c r="AA31" i="7"/>
  <c r="AB31" i="7"/>
  <c r="AC31" i="7"/>
  <c r="AD31" i="7"/>
  <c r="AE31" i="7"/>
  <c r="AF31" i="7"/>
  <c r="AG31" i="7"/>
  <c r="AH31" i="7"/>
  <c r="AI31" i="7"/>
  <c r="AJ31" i="7"/>
  <c r="AK31" i="7"/>
  <c r="AM31" i="7"/>
  <c r="AN31" i="7"/>
  <c r="AO31" i="7"/>
  <c r="AP31" i="7"/>
  <c r="AQ31" i="7" s="1"/>
  <c r="AR31" i="7"/>
  <c r="AS31" i="7"/>
  <c r="AT31" i="7"/>
  <c r="AU31" i="7"/>
  <c r="AV31" i="7" s="1"/>
  <c r="AW31" i="7"/>
  <c r="AX31" i="7"/>
  <c r="AY31" i="7"/>
  <c r="AL36" i="7"/>
  <c r="AQ36" i="7"/>
  <c r="AV36" i="7"/>
  <c r="AL37" i="7"/>
  <c r="AQ37" i="7"/>
  <c r="AV37" i="7"/>
  <c r="AL38" i="7"/>
  <c r="AQ38" i="7"/>
  <c r="AV38" i="7"/>
  <c r="AL39" i="7"/>
  <c r="AQ39" i="7"/>
  <c r="AV39" i="7"/>
  <c r="AL40" i="7"/>
  <c r="AQ40" i="7"/>
  <c r="AV40" i="7"/>
  <c r="AL41" i="7"/>
  <c r="AQ41" i="7"/>
  <c r="AV41" i="7"/>
  <c r="AL42" i="7"/>
  <c r="AQ42" i="7"/>
  <c r="AV42" i="7"/>
  <c r="AL43" i="7"/>
  <c r="AQ43" i="7"/>
  <c r="AV43" i="7"/>
  <c r="AL44" i="7"/>
  <c r="AQ44" i="7"/>
  <c r="AV44" i="7"/>
  <c r="AL45" i="7"/>
  <c r="AQ45" i="7"/>
  <c r="AV45" i="7"/>
  <c r="D46" i="7"/>
  <c r="D48" i="7" s="1"/>
  <c r="D54" i="7" s="1"/>
  <c r="E46" i="7"/>
  <c r="E48" i="7" s="1"/>
  <c r="E54" i="7" s="1"/>
  <c r="F46" i="7"/>
  <c r="F48" i="7" s="1"/>
  <c r="F54" i="7" s="1"/>
  <c r="G46" i="7"/>
  <c r="G48" i="7" s="1"/>
  <c r="G54" i="7" s="1"/>
  <c r="H46" i="7"/>
  <c r="H48" i="7" s="1"/>
  <c r="H54" i="7" s="1"/>
  <c r="I46" i="7"/>
  <c r="I48" i="7" s="1"/>
  <c r="I54" i="7" s="1"/>
  <c r="I66" i="7" s="1"/>
  <c r="J46" i="7"/>
  <c r="J48" i="7" s="1"/>
  <c r="J54" i="7" s="1"/>
  <c r="K46" i="7"/>
  <c r="K48" i="7" s="1"/>
  <c r="K54" i="7" s="1"/>
  <c r="L46" i="7"/>
  <c r="L48" i="7" s="1"/>
  <c r="L54" i="7" s="1"/>
  <c r="M46" i="7"/>
  <c r="M48" i="7" s="1"/>
  <c r="M54" i="7" s="1"/>
  <c r="N46" i="7"/>
  <c r="N48" i="7" s="1"/>
  <c r="N54" i="7" s="1"/>
  <c r="O46" i="7"/>
  <c r="O48" i="7" s="1"/>
  <c r="O54" i="7" s="1"/>
  <c r="P46" i="7"/>
  <c r="P48" i="7" s="1"/>
  <c r="P54" i="7" s="1"/>
  <c r="Q46" i="7"/>
  <c r="Q48" i="7" s="1"/>
  <c r="Q54" i="7" s="1"/>
  <c r="R46" i="7"/>
  <c r="R48" i="7" s="1"/>
  <c r="R54" i="7" s="1"/>
  <c r="S46" i="7"/>
  <c r="S48" i="7" s="1"/>
  <c r="S54" i="7" s="1"/>
  <c r="T46" i="7"/>
  <c r="T48" i="7" s="1"/>
  <c r="T54" i="7" s="1"/>
  <c r="U46" i="7"/>
  <c r="U48" i="7" s="1"/>
  <c r="U54" i="7" s="1"/>
  <c r="V46" i="7"/>
  <c r="V48" i="7" s="1"/>
  <c r="V54" i="7" s="1"/>
  <c r="W46" i="7"/>
  <c r="W48" i="7" s="1"/>
  <c r="W54" i="7" s="1"/>
  <c r="X46" i="7"/>
  <c r="X48" i="7" s="1"/>
  <c r="X54" i="7" s="1"/>
  <c r="Y46" i="7"/>
  <c r="Y48" i="7" s="1"/>
  <c r="Y54" i="7" s="1"/>
  <c r="Z46" i="7"/>
  <c r="Z48" i="7" s="1"/>
  <c r="Z54" i="7" s="1"/>
  <c r="AA46" i="7"/>
  <c r="AA48" i="7" s="1"/>
  <c r="AA54" i="7" s="1"/>
  <c r="AC46" i="7"/>
  <c r="AC48" i="7" s="1"/>
  <c r="AC54" i="7" s="1"/>
  <c r="AD46" i="7"/>
  <c r="AD48" i="7" s="1"/>
  <c r="AD54" i="7" s="1"/>
  <c r="AD66" i="7" s="1"/>
  <c r="AE46" i="7"/>
  <c r="AE48" i="7" s="1"/>
  <c r="AE54" i="7" s="1"/>
  <c r="AF46" i="7"/>
  <c r="AF48" i="7" s="1"/>
  <c r="AF54" i="7" s="1"/>
  <c r="AH46" i="7"/>
  <c r="AH48" i="7" s="1"/>
  <c r="AH54" i="7" s="1"/>
  <c r="AI46" i="7"/>
  <c r="AI48" i="7" s="1"/>
  <c r="AI54" i="7" s="1"/>
  <c r="AJ46" i="7"/>
  <c r="AJ48" i="7" s="1"/>
  <c r="AJ54" i="7" s="1"/>
  <c r="AK46" i="7"/>
  <c r="AL46" i="7" s="1"/>
  <c r="AM46" i="7"/>
  <c r="AM48" i="7"/>
  <c r="AM54" i="7" s="1"/>
  <c r="AN46" i="7"/>
  <c r="AN48" i="7" s="1"/>
  <c r="AN54" i="7" s="1"/>
  <c r="AO46" i="7"/>
  <c r="AO48" i="7" s="1"/>
  <c r="AO54" i="7" s="1"/>
  <c r="AO66" i="7" s="1"/>
  <c r="AP46" i="7"/>
  <c r="AQ46" i="7" s="1"/>
  <c r="AR46" i="7"/>
  <c r="AR48" i="7" s="1"/>
  <c r="AR54" i="7" s="1"/>
  <c r="AR66" i="7" s="1"/>
  <c r="AS46" i="7"/>
  <c r="AS48" i="7" s="1"/>
  <c r="AS54" i="7" s="1"/>
  <c r="AT46" i="7"/>
  <c r="AT48" i="7" s="1"/>
  <c r="AT54" i="7" s="1"/>
  <c r="AU46" i="7"/>
  <c r="AU48" i="7" s="1"/>
  <c r="AW46" i="7"/>
  <c r="AW48" i="7" s="1"/>
  <c r="AW54" i="7" s="1"/>
  <c r="AX46" i="7"/>
  <c r="AX48" i="7" s="1"/>
  <c r="AX54" i="7" s="1"/>
  <c r="AY46" i="7"/>
  <c r="AL47" i="7"/>
  <c r="AQ47" i="7"/>
  <c r="AV47" i="7"/>
  <c r="AL50" i="7"/>
  <c r="AQ50" i="7"/>
  <c r="AV50" i="7"/>
  <c r="AL51" i="7"/>
  <c r="AQ51" i="7"/>
  <c r="AV51" i="7"/>
  <c r="AL52" i="7"/>
  <c r="AQ52" i="7"/>
  <c r="AV52" i="7"/>
  <c r="AL53" i="7"/>
  <c r="AQ53" i="7"/>
  <c r="AV53" i="7"/>
  <c r="AL56" i="7"/>
  <c r="AQ56" i="7"/>
  <c r="AV56" i="7"/>
  <c r="AL57" i="7"/>
  <c r="AQ57" i="7"/>
  <c r="AV57" i="7"/>
  <c r="AL58" i="7"/>
  <c r="AQ58" i="7"/>
  <c r="AV58" i="7"/>
  <c r="AL59" i="7"/>
  <c r="AQ59" i="7"/>
  <c r="AT59" i="7"/>
  <c r="AT63" i="7" s="1"/>
  <c r="AT65" i="7" s="1"/>
  <c r="AV59" i="7"/>
  <c r="AL60" i="7"/>
  <c r="AQ60" i="7"/>
  <c r="AV60" i="7"/>
  <c r="AL61" i="7"/>
  <c r="AQ61" i="7"/>
  <c r="AV61" i="7"/>
  <c r="AL62" i="7"/>
  <c r="AQ62" i="7"/>
  <c r="AV62" i="7"/>
  <c r="D63" i="7"/>
  <c r="D65" i="7" s="1"/>
  <c r="E63" i="7"/>
  <c r="E65" i="7" s="1"/>
  <c r="F63" i="7"/>
  <c r="F65" i="7" s="1"/>
  <c r="G63" i="7"/>
  <c r="G65" i="7" s="1"/>
  <c r="H63" i="7"/>
  <c r="H65" i="7" s="1"/>
  <c r="I63" i="7"/>
  <c r="I65" i="7" s="1"/>
  <c r="J63" i="7"/>
  <c r="J65" i="7" s="1"/>
  <c r="K63" i="7"/>
  <c r="K65" i="7" s="1"/>
  <c r="L63" i="7"/>
  <c r="L65" i="7" s="1"/>
  <c r="M63" i="7"/>
  <c r="M65" i="7" s="1"/>
  <c r="N63" i="7"/>
  <c r="N65" i="7" s="1"/>
  <c r="O63" i="7"/>
  <c r="O65" i="7"/>
  <c r="P63" i="7"/>
  <c r="P65" i="7" s="1"/>
  <c r="Q63" i="7"/>
  <c r="Q65" i="7" s="1"/>
  <c r="Q66" i="7" s="1"/>
  <c r="R63" i="7"/>
  <c r="R65" i="7" s="1"/>
  <c r="S63" i="7"/>
  <c r="S65" i="7" s="1"/>
  <c r="T63" i="7"/>
  <c r="T65" i="7" s="1"/>
  <c r="U63" i="7"/>
  <c r="U65" i="7" s="1"/>
  <c r="V63" i="7"/>
  <c r="V65" i="7" s="1"/>
  <c r="W63" i="7"/>
  <c r="W65" i="7" s="1"/>
  <c r="W66" i="7" s="1"/>
  <c r="X63" i="7"/>
  <c r="X65" i="7"/>
  <c r="X66" i="7" s="1"/>
  <c r="Y63" i="7"/>
  <c r="Y65" i="7"/>
  <c r="Z63" i="7"/>
  <c r="Z65" i="7" s="1"/>
  <c r="AA63" i="7"/>
  <c r="AA65" i="7" s="1"/>
  <c r="AC63" i="7"/>
  <c r="AC65" i="7" s="1"/>
  <c r="AC66" i="7" s="1"/>
  <c r="AD63" i="7"/>
  <c r="AD65" i="7" s="1"/>
  <c r="AE63" i="7"/>
  <c r="AE65" i="7" s="1"/>
  <c r="AF63" i="7"/>
  <c r="AF65" i="7" s="1"/>
  <c r="AH63" i="7"/>
  <c r="AH65" i="7" s="1"/>
  <c r="AH66" i="7" s="1"/>
  <c r="AI63" i="7"/>
  <c r="AI65" i="7" s="1"/>
  <c r="AI66" i="7" s="1"/>
  <c r="AJ63" i="7"/>
  <c r="AJ65" i="7" s="1"/>
  <c r="AK63" i="7"/>
  <c r="AL63" i="7" s="1"/>
  <c r="AM63" i="7"/>
  <c r="AM65" i="7" s="1"/>
  <c r="AN63" i="7"/>
  <c r="AN65" i="7" s="1"/>
  <c r="AN66" i="7" s="1"/>
  <c r="AO63" i="7"/>
  <c r="AO65" i="7"/>
  <c r="AP63" i="7"/>
  <c r="AP65" i="7" s="1"/>
  <c r="AQ65" i="7"/>
  <c r="AR63" i="7"/>
  <c r="AR65" i="7" s="1"/>
  <c r="AS63" i="7"/>
  <c r="AS65" i="7" s="1"/>
  <c r="AU63" i="7"/>
  <c r="AV63" i="7" s="1"/>
  <c r="AW63" i="7"/>
  <c r="AW65" i="7" s="1"/>
  <c r="AX63" i="7"/>
  <c r="AX65" i="7" s="1"/>
  <c r="AX66" i="7" s="1"/>
  <c r="AY63" i="7"/>
  <c r="AY65" i="7" s="1"/>
  <c r="AL64" i="7"/>
  <c r="AQ64" i="7"/>
  <c r="AV64" i="7"/>
  <c r="D7" i="8"/>
  <c r="E7" i="8" s="1"/>
  <c r="I7" i="8"/>
  <c r="J7" i="8" s="1"/>
  <c r="N7" i="8"/>
  <c r="O7" i="8" s="1"/>
  <c r="Q7" i="8" s="1"/>
  <c r="T7" i="8"/>
  <c r="U7" i="8" s="1"/>
  <c r="V7" i="8" s="1"/>
  <c r="X7" i="8"/>
  <c r="Y7" i="8"/>
  <c r="AF7" i="8"/>
  <c r="AH7" i="8"/>
  <c r="AI7" i="8" s="1"/>
  <c r="AJ7" i="8" s="1"/>
  <c r="AM7" i="8"/>
  <c r="AN7" i="8" s="1"/>
  <c r="AR7" i="8"/>
  <c r="AS7" i="8" s="1"/>
  <c r="AW7" i="8"/>
  <c r="AX7" i="8" s="1"/>
  <c r="AY7" i="8" s="1"/>
  <c r="D9" i="8"/>
  <c r="E9" i="8" s="1"/>
  <c r="I9" i="8"/>
  <c r="J9" i="8" s="1"/>
  <c r="N9" i="8"/>
  <c r="O9" i="8" s="1"/>
  <c r="T9" i="8"/>
  <c r="U9" i="8" s="1"/>
  <c r="X9" i="8"/>
  <c r="Y9" i="8" s="1"/>
  <c r="AF9" i="8"/>
  <c r="AH9" i="8"/>
  <c r="AM9" i="8"/>
  <c r="AN9" i="8"/>
  <c r="AO9" i="8" s="1"/>
  <c r="AP9" i="8" s="1"/>
  <c r="AR9" i="8"/>
  <c r="AS9" i="8" s="1"/>
  <c r="AW9" i="8"/>
  <c r="D10" i="8"/>
  <c r="I10" i="8"/>
  <c r="J10" i="8" s="1"/>
  <c r="K10" i="8" s="1"/>
  <c r="L10" i="8" s="1"/>
  <c r="N10" i="8"/>
  <c r="O10" i="8" s="1"/>
  <c r="T10" i="8"/>
  <c r="U10" i="8"/>
  <c r="X10" i="8"/>
  <c r="Y10" i="8" s="1"/>
  <c r="Z10" i="8" s="1"/>
  <c r="AF10" i="8"/>
  <c r="AH10" i="8"/>
  <c r="AM10" i="8"/>
  <c r="AN10" i="8" s="1"/>
  <c r="AO10" i="8" s="1"/>
  <c r="AR10" i="8"/>
  <c r="AS10" i="8" s="1"/>
  <c r="AT10" i="8" s="1"/>
  <c r="AW10" i="8"/>
  <c r="AX10" i="8"/>
  <c r="D11" i="8"/>
  <c r="E11" i="8" s="1"/>
  <c r="I11" i="8"/>
  <c r="J11" i="8" s="1"/>
  <c r="N11" i="8"/>
  <c r="T11" i="8"/>
  <c r="X11" i="8"/>
  <c r="Y11" i="8"/>
  <c r="Z11" i="8" s="1"/>
  <c r="AA11" i="8" s="1"/>
  <c r="AF11" i="8"/>
  <c r="AH11" i="8"/>
  <c r="AI11" i="8"/>
  <c r="AJ11" i="8" s="1"/>
  <c r="AM11" i="8"/>
  <c r="AN11" i="8"/>
  <c r="AR11" i="8"/>
  <c r="AW11" i="8"/>
  <c r="AX11" i="8" s="1"/>
  <c r="AF12" i="8"/>
  <c r="AH12" i="8"/>
  <c r="AI12" i="8" s="1"/>
  <c r="AJ12" i="8" s="1"/>
  <c r="AM12" i="8"/>
  <c r="AN12" i="8" s="1"/>
  <c r="AR12" i="8"/>
  <c r="AW12" i="8"/>
  <c r="AX12" i="8"/>
  <c r="AY12" i="8"/>
  <c r="D13" i="8"/>
  <c r="E13" i="8" s="1"/>
  <c r="I13" i="8"/>
  <c r="N13" i="8"/>
  <c r="O13" i="8" s="1"/>
  <c r="T13" i="8"/>
  <c r="U13" i="8" s="1"/>
  <c r="V13" i="8" s="1"/>
  <c r="X13" i="8"/>
  <c r="Y13" i="8" s="1"/>
  <c r="AF13" i="8"/>
  <c r="AH13" i="8"/>
  <c r="AI13" i="8" s="1"/>
  <c r="AJ13" i="8"/>
  <c r="AM13" i="8"/>
  <c r="AN13" i="8" s="1"/>
  <c r="AR13" i="8"/>
  <c r="AS13" i="8"/>
  <c r="AT13" i="8" s="1"/>
  <c r="AW13" i="8"/>
  <c r="AX13" i="8"/>
  <c r="D14" i="8"/>
  <c r="I14" i="8"/>
  <c r="N14" i="8"/>
  <c r="O14" i="8" s="1"/>
  <c r="V14" i="8"/>
  <c r="AA14" i="8"/>
  <c r="AF14" i="8"/>
  <c r="AK14" i="8"/>
  <c r="AP14" i="8"/>
  <c r="AU14" i="8"/>
  <c r="AZ14" i="8"/>
  <c r="U15" i="8"/>
  <c r="V15" i="8" s="1"/>
  <c r="AA15" i="8"/>
  <c r="AF15" i="8"/>
  <c r="AK15" i="8"/>
  <c r="AP15" i="8"/>
  <c r="AU15" i="8"/>
  <c r="AZ15" i="8"/>
  <c r="U16" i="8"/>
  <c r="V16" i="8" s="1"/>
  <c r="AA16" i="8"/>
  <c r="AF16" i="8"/>
  <c r="AK16" i="8"/>
  <c r="AP16" i="8"/>
  <c r="AU16" i="8"/>
  <c r="D17" i="8"/>
  <c r="I17" i="8"/>
  <c r="N17" i="8"/>
  <c r="T17" i="8"/>
  <c r="X17" i="8"/>
  <c r="Y17" i="8"/>
  <c r="Z17" i="8" s="1"/>
  <c r="AF17" i="8"/>
  <c r="AH17" i="8"/>
  <c r="AI17" i="8" s="1"/>
  <c r="AM17" i="8"/>
  <c r="AP17" i="8" s="1"/>
  <c r="AN17" i="8"/>
  <c r="AO17" i="8"/>
  <c r="AR17" i="8"/>
  <c r="AS17" i="8"/>
  <c r="AT17" i="8" s="1"/>
  <c r="AW17" i="8"/>
  <c r="X18" i="8"/>
  <c r="Y18" i="8" s="1"/>
  <c r="Z18" i="8" s="1"/>
  <c r="AF18" i="8"/>
  <c r="AK18" i="8"/>
  <c r="AP18" i="8"/>
  <c r="AU18" i="8"/>
  <c r="AZ18" i="8"/>
  <c r="U19" i="8"/>
  <c r="V19" i="8" s="1"/>
  <c r="X19" i="8"/>
  <c r="AF19" i="8"/>
  <c r="AH19" i="8"/>
  <c r="AM19" i="8"/>
  <c r="AR19" i="8"/>
  <c r="AS19" i="8" s="1"/>
  <c r="AT19" i="8" s="1"/>
  <c r="AW19" i="8"/>
  <c r="AX19" i="8" s="1"/>
  <c r="AY19" i="8" s="1"/>
  <c r="D21" i="8"/>
  <c r="E21" i="8"/>
  <c r="I21" i="8"/>
  <c r="J21" i="8" s="1"/>
  <c r="N21" i="8"/>
  <c r="O21" i="8"/>
  <c r="T21" i="8"/>
  <c r="U21" i="8"/>
  <c r="X21" i="8"/>
  <c r="AF21" i="8"/>
  <c r="AH21" i="8"/>
  <c r="AI21" i="8" s="1"/>
  <c r="AJ21" i="8" s="1"/>
  <c r="AM21" i="8"/>
  <c r="AN21" i="8" s="1"/>
  <c r="AO21" i="8" s="1"/>
  <c r="AR21" i="8"/>
  <c r="AS21" i="8" s="1"/>
  <c r="AT21" i="8" s="1"/>
  <c r="AW21" i="8"/>
  <c r="AX21" i="8" s="1"/>
  <c r="AY21" i="8" s="1"/>
  <c r="AZ21" i="8" s="1"/>
  <c r="C23" i="8"/>
  <c r="I23" i="8"/>
  <c r="J23" i="8"/>
  <c r="K23" i="8" s="1"/>
  <c r="N23" i="8"/>
  <c r="T23" i="8"/>
  <c r="U23" i="8" s="1"/>
  <c r="X23" i="8"/>
  <c r="Y23" i="8"/>
  <c r="AD23" i="8"/>
  <c r="AF23" i="8" s="1"/>
  <c r="AH23" i="8"/>
  <c r="AI23" i="8" s="1"/>
  <c r="AM23" i="8"/>
  <c r="AR23" i="8"/>
  <c r="AS23" i="8" s="1"/>
  <c r="AT23" i="8" s="1"/>
  <c r="AW23" i="8"/>
  <c r="AX23" i="8" s="1"/>
  <c r="D24" i="8"/>
  <c r="E24" i="8"/>
  <c r="I24" i="8"/>
  <c r="N24" i="8"/>
  <c r="O24" i="8" s="1"/>
  <c r="Q24" i="8" s="1"/>
  <c r="S24" i="8"/>
  <c r="X24" i="8"/>
  <c r="AD24" i="8"/>
  <c r="AH24" i="8"/>
  <c r="AI24" i="8"/>
  <c r="AM24" i="8"/>
  <c r="AN24" i="8" s="1"/>
  <c r="AO24" i="8" s="1"/>
  <c r="AR24" i="8"/>
  <c r="AS24" i="8" s="1"/>
  <c r="AT24" i="8" s="1"/>
  <c r="AW24" i="8"/>
  <c r="AX24" i="8" s="1"/>
  <c r="D25" i="8"/>
  <c r="I25" i="8"/>
  <c r="N25" i="8"/>
  <c r="O25" i="8" s="1"/>
  <c r="Q25" i="8" s="1"/>
  <c r="T25" i="8"/>
  <c r="U25" i="8" s="1"/>
  <c r="V25" i="8" s="1"/>
  <c r="X25" i="8"/>
  <c r="Y25" i="8" s="1"/>
  <c r="Z25" i="8" s="1"/>
  <c r="AF25" i="8"/>
  <c r="AH25" i="8"/>
  <c r="AI25" i="8"/>
  <c r="AM25" i="8"/>
  <c r="AN25" i="8" s="1"/>
  <c r="AR25" i="8"/>
  <c r="AS25" i="8" s="1"/>
  <c r="AW25" i="8"/>
  <c r="AX25" i="8"/>
  <c r="D26" i="8"/>
  <c r="I26" i="8"/>
  <c r="J26" i="8" s="1"/>
  <c r="N26" i="8"/>
  <c r="T26" i="8"/>
  <c r="U26" i="8" s="1"/>
  <c r="V26" i="8" s="1"/>
  <c r="X26" i="8"/>
  <c r="Y26" i="8"/>
  <c r="AF26" i="8"/>
  <c r="AK26" i="8"/>
  <c r="AP26" i="8"/>
  <c r="AU26" i="8"/>
  <c r="AZ26" i="8"/>
  <c r="D27" i="8"/>
  <c r="E27" i="8" s="1"/>
  <c r="F27" i="8" s="1"/>
  <c r="G27" i="8" s="1"/>
  <c r="I27" i="8"/>
  <c r="J27" i="8" s="1"/>
  <c r="N27" i="8"/>
  <c r="O27" i="8" s="1"/>
  <c r="Q27" i="8" s="1"/>
  <c r="T27" i="8"/>
  <c r="U27" i="8" s="1"/>
  <c r="X27" i="8"/>
  <c r="Y27" i="8" s="1"/>
  <c r="Z27" i="8" s="1"/>
  <c r="AF27" i="8"/>
  <c r="AH27" i="8"/>
  <c r="AI27" i="8"/>
  <c r="AJ27" i="8" s="1"/>
  <c r="AM27" i="8"/>
  <c r="AR27" i="8"/>
  <c r="AS27" i="8" s="1"/>
  <c r="AW27" i="8"/>
  <c r="AX27" i="8"/>
  <c r="D28" i="8"/>
  <c r="I28" i="8"/>
  <c r="J28" i="8" s="1"/>
  <c r="K28" i="8" s="1"/>
  <c r="N28" i="8"/>
  <c r="O28" i="8" s="1"/>
  <c r="T28" i="8"/>
  <c r="U28" i="8" s="1"/>
  <c r="V28" i="8" s="1"/>
  <c r="X28" i="8"/>
  <c r="AD28" i="8"/>
  <c r="AF28" i="8" s="1"/>
  <c r="AF30" i="8" s="1"/>
  <c r="AF32" i="8" s="1"/>
  <c r="AH28" i="8"/>
  <c r="AI28" i="8" s="1"/>
  <c r="AJ28" i="8" s="1"/>
  <c r="AM28" i="8"/>
  <c r="AN28" i="8" s="1"/>
  <c r="AR28" i="8"/>
  <c r="AS28" i="8" s="1"/>
  <c r="AW28" i="8"/>
  <c r="AX28" i="8" s="1"/>
  <c r="H30" i="8"/>
  <c r="H32" i="8" s="1"/>
  <c r="M30" i="8"/>
  <c r="M32" i="8" s="1"/>
  <c r="P30" i="8"/>
  <c r="P32" i="8" s="1"/>
  <c r="R30" i="8"/>
  <c r="R32" i="8" s="1"/>
  <c r="W30" i="8"/>
  <c r="W32" i="8" s="1"/>
  <c r="AB30" i="8"/>
  <c r="AB32" i="8" s="1"/>
  <c r="AC30" i="8"/>
  <c r="AC32" i="8"/>
  <c r="AE30" i="8"/>
  <c r="AE32" i="8"/>
  <c r="AG30" i="8"/>
  <c r="AG32" i="8" s="1"/>
  <c r="AL30" i="8"/>
  <c r="AL32" i="8" s="1"/>
  <c r="AQ30" i="8"/>
  <c r="AQ32" i="8" s="1"/>
  <c r="AV30" i="8"/>
  <c r="AV32" i="8" s="1"/>
  <c r="D31" i="8"/>
  <c r="E31" i="8" s="1"/>
  <c r="F31" i="8" s="1"/>
  <c r="I31" i="8"/>
  <c r="J31" i="8" s="1"/>
  <c r="N31" i="8"/>
  <c r="T31" i="8"/>
  <c r="X31" i="8"/>
  <c r="Y31" i="8"/>
  <c r="AF31" i="8"/>
  <c r="AH31" i="8"/>
  <c r="AI31" i="8" s="1"/>
  <c r="AJ31" i="8" s="1"/>
  <c r="AM31" i="8"/>
  <c r="AN31" i="8" s="1"/>
  <c r="AR31" i="8"/>
  <c r="AS31" i="8"/>
  <c r="AW31" i="8"/>
  <c r="D35" i="8"/>
  <c r="E35" i="8" s="1"/>
  <c r="F35" i="8" s="1"/>
  <c r="G35" i="8" s="1"/>
  <c r="I35" i="8"/>
  <c r="J35" i="8" s="1"/>
  <c r="N35" i="8"/>
  <c r="O35" i="8" s="1"/>
  <c r="T35" i="8"/>
  <c r="X35" i="8"/>
  <c r="Y35" i="8"/>
  <c r="Z35" i="8" s="1"/>
  <c r="AF35" i="8"/>
  <c r="AH35" i="8"/>
  <c r="AI35" i="8" s="1"/>
  <c r="AJ35" i="8" s="1"/>
  <c r="AM35" i="8"/>
  <c r="AN35" i="8" s="1"/>
  <c r="AR35" i="8"/>
  <c r="AS35" i="8"/>
  <c r="AW35" i="8"/>
  <c r="AX35" i="8" s="1"/>
  <c r="AY35" i="8" s="1"/>
  <c r="D36" i="8"/>
  <c r="E36" i="8" s="1"/>
  <c r="F36" i="8" s="1"/>
  <c r="I36" i="8"/>
  <c r="N36" i="8"/>
  <c r="O36" i="8" s="1"/>
  <c r="Q36" i="8" s="1"/>
  <c r="T36" i="8"/>
  <c r="X36" i="8"/>
  <c r="Y36" i="8" s="1"/>
  <c r="Z36" i="8" s="1"/>
  <c r="AF36" i="8"/>
  <c r="AH36" i="8"/>
  <c r="AK36" i="8" s="1"/>
  <c r="AP36" i="8"/>
  <c r="AU36" i="8"/>
  <c r="AZ36" i="8"/>
  <c r="D37" i="8"/>
  <c r="E37" i="8" s="1"/>
  <c r="I37" i="8"/>
  <c r="J37" i="8" s="1"/>
  <c r="N37" i="8"/>
  <c r="O37" i="8" s="1"/>
  <c r="Q37" i="8" s="1"/>
  <c r="T37" i="8"/>
  <c r="U37" i="8" s="1"/>
  <c r="X37" i="8"/>
  <c r="Y37" i="8" s="1"/>
  <c r="Z37" i="8" s="1"/>
  <c r="AA37" i="8" s="1"/>
  <c r="AF37" i="8"/>
  <c r="AH37" i="8"/>
  <c r="AI37" i="8"/>
  <c r="AJ37" i="8" s="1"/>
  <c r="AM37" i="8"/>
  <c r="AN37" i="8"/>
  <c r="AO37" i="8" s="1"/>
  <c r="AR37" i="8"/>
  <c r="AW37" i="8"/>
  <c r="AX37" i="8"/>
  <c r="AM38" i="8"/>
  <c r="AN38" i="8" s="1"/>
  <c r="AO38" i="8" s="1"/>
  <c r="AR38" i="8"/>
  <c r="AW38" i="8"/>
  <c r="D39" i="8"/>
  <c r="I39" i="8"/>
  <c r="N39" i="8"/>
  <c r="T39" i="8"/>
  <c r="U39" i="8"/>
  <c r="X39" i="8"/>
  <c r="Y39" i="8" s="1"/>
  <c r="AF39" i="8"/>
  <c r="AH39" i="8"/>
  <c r="AI39" i="8"/>
  <c r="AJ39" i="8"/>
  <c r="AM39" i="8"/>
  <c r="AN39" i="8" s="1"/>
  <c r="AO39" i="8" s="1"/>
  <c r="AR39" i="8"/>
  <c r="AS39" i="8" s="1"/>
  <c r="AT39" i="8" s="1"/>
  <c r="AW39" i="8"/>
  <c r="AX39" i="8" s="1"/>
  <c r="D40" i="8"/>
  <c r="E40" i="8" s="1"/>
  <c r="F40" i="8" s="1"/>
  <c r="I40" i="8"/>
  <c r="J40" i="8" s="1"/>
  <c r="N40" i="8"/>
  <c r="O40" i="8"/>
  <c r="V40" i="8"/>
  <c r="AA40" i="8"/>
  <c r="AF40" i="8"/>
  <c r="AH40" i="8"/>
  <c r="AK40" i="8" s="1"/>
  <c r="AP40" i="8"/>
  <c r="AU40" i="8"/>
  <c r="AZ40" i="8"/>
  <c r="D41" i="8"/>
  <c r="E41" i="8" s="1"/>
  <c r="F41" i="8" s="1"/>
  <c r="G41" i="8" s="1"/>
  <c r="I41" i="8"/>
  <c r="J41" i="8" s="1"/>
  <c r="N41" i="8"/>
  <c r="T41" i="8"/>
  <c r="U41" i="8"/>
  <c r="X41" i="8"/>
  <c r="Y41" i="8" s="1"/>
  <c r="AF41" i="8"/>
  <c r="AH41" i="8"/>
  <c r="AI41" i="8"/>
  <c r="AO41" i="8"/>
  <c r="AP41" i="8" s="1"/>
  <c r="AR41" i="8"/>
  <c r="AS41" i="8" s="1"/>
  <c r="AT41" i="8" s="1"/>
  <c r="AW41" i="8"/>
  <c r="AZ41" i="8"/>
  <c r="D42" i="8"/>
  <c r="E42" i="8" s="1"/>
  <c r="I42" i="8"/>
  <c r="J42" i="8" s="1"/>
  <c r="N42" i="8"/>
  <c r="T42" i="8"/>
  <c r="U42" i="8" s="1"/>
  <c r="V42" i="8" s="1"/>
  <c r="X42" i="8"/>
  <c r="Y42" i="8" s="1"/>
  <c r="AF42" i="8"/>
  <c r="AH42" i="8"/>
  <c r="AI42" i="8"/>
  <c r="AM42" i="8"/>
  <c r="AR42" i="8"/>
  <c r="AS42" i="8" s="1"/>
  <c r="AT42" i="8" s="1"/>
  <c r="AW42" i="8"/>
  <c r="AX42" i="8" s="1"/>
  <c r="G43" i="8"/>
  <c r="I43" i="8"/>
  <c r="N43" i="8"/>
  <c r="O43" i="8" s="1"/>
  <c r="Q43" i="8" s="1"/>
  <c r="T43" i="8"/>
  <c r="U43" i="8" s="1"/>
  <c r="X43" i="8"/>
  <c r="Y43" i="8" s="1"/>
  <c r="AF43" i="8"/>
  <c r="AI43" i="8"/>
  <c r="AK43" i="8" s="1"/>
  <c r="AP43" i="8"/>
  <c r="AU43" i="8"/>
  <c r="AZ43" i="8"/>
  <c r="G44" i="8"/>
  <c r="I44" i="8"/>
  <c r="J44" i="8" s="1"/>
  <c r="N44" i="8"/>
  <c r="O44" i="8" s="1"/>
  <c r="T44" i="8"/>
  <c r="U44" i="8"/>
  <c r="V44" i="8" s="1"/>
  <c r="X44" i="8"/>
  <c r="Y44" i="8" s="1"/>
  <c r="AF44" i="8"/>
  <c r="AH44" i="8"/>
  <c r="AI44" i="8" s="1"/>
  <c r="AJ44" i="8" s="1"/>
  <c r="AL44" i="8"/>
  <c r="AM44" i="8" s="1"/>
  <c r="AQ44" i="8"/>
  <c r="AW44" i="8"/>
  <c r="AX44" i="8" s="1"/>
  <c r="Z45" i="8"/>
  <c r="AA45" i="8" s="1"/>
  <c r="AF45" i="8"/>
  <c r="AI45" i="8"/>
  <c r="AK45" i="8" s="1"/>
  <c r="AM45" i="8"/>
  <c r="AN45" i="8" s="1"/>
  <c r="AO45" i="8" s="1"/>
  <c r="AP45" i="8" s="1"/>
  <c r="AR45" i="8"/>
  <c r="AU45" i="8" s="1"/>
  <c r="AM46" i="8"/>
  <c r="AN46" i="8" s="1"/>
  <c r="AR46" i="8"/>
  <c r="AS46" i="8" s="1"/>
  <c r="T47" i="8"/>
  <c r="U47" i="8" s="1"/>
  <c r="V47" i="8" s="1"/>
  <c r="Y47" i="8"/>
  <c r="Z47" i="8" s="1"/>
  <c r="AA47" i="8" s="1"/>
  <c r="AF47" i="8"/>
  <c r="AI47" i="8"/>
  <c r="AJ47" i="8"/>
  <c r="AK47" i="8" s="1"/>
  <c r="AN47" i="8"/>
  <c r="AO47" i="8" s="1"/>
  <c r="AS47" i="8"/>
  <c r="AT47" i="8" s="1"/>
  <c r="AW47" i="8"/>
  <c r="AZ47" i="8" s="1"/>
  <c r="D48" i="8"/>
  <c r="I48" i="8"/>
  <c r="J48" i="8" s="1"/>
  <c r="K48" i="8" s="1"/>
  <c r="L48" i="8" s="1"/>
  <c r="N48" i="8"/>
  <c r="O48" i="8"/>
  <c r="T48" i="8"/>
  <c r="U48" i="8" s="1"/>
  <c r="X48" i="8"/>
  <c r="Y48" i="8" s="1"/>
  <c r="Z48" i="8" s="1"/>
  <c r="AF48" i="8"/>
  <c r="AK48" i="8"/>
  <c r="AM48" i="8"/>
  <c r="AN48" i="8" s="1"/>
  <c r="AO48" i="8" s="1"/>
  <c r="AR48" i="8"/>
  <c r="AS48" i="8"/>
  <c r="AT48" i="8" s="1"/>
  <c r="AW48" i="8"/>
  <c r="D49" i="8"/>
  <c r="E49" i="8" s="1"/>
  <c r="F49" i="8" s="1"/>
  <c r="G49" i="8" s="1"/>
  <c r="I49" i="8"/>
  <c r="J49" i="8" s="1"/>
  <c r="N49" i="8"/>
  <c r="O49" i="8"/>
  <c r="T49" i="8"/>
  <c r="X49" i="8"/>
  <c r="Y49" i="8" s="1"/>
  <c r="Z49" i="8" s="1"/>
  <c r="AA49" i="8" s="1"/>
  <c r="AF49" i="8"/>
  <c r="AH49" i="8"/>
  <c r="AI49" i="8"/>
  <c r="AM49" i="8"/>
  <c r="AN49" i="8" s="1"/>
  <c r="AR49" i="8"/>
  <c r="AS49" i="8"/>
  <c r="AT49" i="8" s="1"/>
  <c r="AW49" i="8"/>
  <c r="AX49" i="8"/>
  <c r="D50" i="8"/>
  <c r="E50" i="8" s="1"/>
  <c r="I50" i="8"/>
  <c r="N50" i="8"/>
  <c r="O50" i="8" s="1"/>
  <c r="Q50" i="8" s="1"/>
  <c r="T50" i="8"/>
  <c r="X50" i="8"/>
  <c r="AF50" i="8"/>
  <c r="AH50" i="8"/>
  <c r="AI50" i="8"/>
  <c r="AM50" i="8"/>
  <c r="AN50" i="8" s="1"/>
  <c r="AO50" i="8" s="1"/>
  <c r="AR50" i="8"/>
  <c r="AS50" i="8" s="1"/>
  <c r="AT50" i="8" s="1"/>
  <c r="AW50" i="8"/>
  <c r="AX50" i="8" s="1"/>
  <c r="G51" i="8"/>
  <c r="I51" i="8"/>
  <c r="L51" i="8" s="1"/>
  <c r="N51" i="8"/>
  <c r="O51" i="8" s="1"/>
  <c r="T51" i="8"/>
  <c r="U51" i="8" s="1"/>
  <c r="V51" i="8" s="1"/>
  <c r="X51" i="8"/>
  <c r="Y51" i="8" s="1"/>
  <c r="Z51" i="8" s="1"/>
  <c r="AD51" i="8"/>
  <c r="AE51" i="8"/>
  <c r="AE62" i="8"/>
  <c r="AH51" i="8"/>
  <c r="AI51" i="8" s="1"/>
  <c r="AJ51" i="8" s="1"/>
  <c r="AM51" i="8"/>
  <c r="AN51" i="8" s="1"/>
  <c r="AR51" i="8"/>
  <c r="AS51" i="8" s="1"/>
  <c r="AT51" i="8" s="1"/>
  <c r="AW51" i="8"/>
  <c r="AX51" i="8" s="1"/>
  <c r="D52" i="8"/>
  <c r="E52" i="8" s="1"/>
  <c r="I52" i="8"/>
  <c r="N52" i="8"/>
  <c r="T52" i="8"/>
  <c r="U52" i="8" s="1"/>
  <c r="X52" i="8"/>
  <c r="Y52" i="8"/>
  <c r="Z52" i="8"/>
  <c r="AF52" i="8"/>
  <c r="AH52" i="8"/>
  <c r="AI52" i="8" s="1"/>
  <c r="AJ52" i="8" s="1"/>
  <c r="AM52" i="8"/>
  <c r="AN52" i="8" s="1"/>
  <c r="AR52" i="8"/>
  <c r="AS52" i="8" s="1"/>
  <c r="AT52" i="8" s="1"/>
  <c r="AW52" i="8"/>
  <c r="AX52" i="8" s="1"/>
  <c r="D53" i="8"/>
  <c r="E53" i="8" s="1"/>
  <c r="F53" i="8" s="1"/>
  <c r="G53" i="8" s="1"/>
  <c r="I53" i="8"/>
  <c r="J53" i="8"/>
  <c r="N53" i="8"/>
  <c r="T53" i="8"/>
  <c r="X53" i="8"/>
  <c r="Y53" i="8" s="1"/>
  <c r="Z53" i="8" s="1"/>
  <c r="AF53" i="8"/>
  <c r="AH53" i="8"/>
  <c r="AI53" i="8" s="1"/>
  <c r="AM53" i="8"/>
  <c r="AN53" i="8" s="1"/>
  <c r="AR53" i="8"/>
  <c r="AS53" i="8"/>
  <c r="AT53" i="8"/>
  <c r="AW53" i="8"/>
  <c r="U54" i="8"/>
  <c r="V54" i="8" s="1"/>
  <c r="Z54" i="8"/>
  <c r="AA54" i="8" s="1"/>
  <c r="AF54" i="8"/>
  <c r="AK54" i="8"/>
  <c r="AP54" i="8"/>
  <c r="AR54" i="8"/>
  <c r="AS54" i="8"/>
  <c r="AT54" i="8" s="1"/>
  <c r="AW54" i="8"/>
  <c r="AX54" i="8"/>
  <c r="AY54" i="8" s="1"/>
  <c r="X55" i="8"/>
  <c r="Y55" i="8" s="1"/>
  <c r="AF55" i="8"/>
  <c r="AH55" i="8"/>
  <c r="AK55" i="8" s="1"/>
  <c r="AP55" i="8"/>
  <c r="AR55" i="8"/>
  <c r="AW55" i="8"/>
  <c r="AX55" i="8" s="1"/>
  <c r="D56" i="8"/>
  <c r="E56" i="8" s="1"/>
  <c r="F56" i="8" s="1"/>
  <c r="G56" i="8" s="1"/>
  <c r="I56" i="8"/>
  <c r="J56" i="8" s="1"/>
  <c r="N56" i="8"/>
  <c r="V56" i="8"/>
  <c r="AA56" i="8"/>
  <c r="AF56" i="8"/>
  <c r="AK56" i="8"/>
  <c r="AP56" i="8"/>
  <c r="AU56" i="8"/>
  <c r="AZ56" i="8"/>
  <c r="D57" i="8"/>
  <c r="I57" i="8"/>
  <c r="J57" i="8" s="1"/>
  <c r="K57" i="8" s="1"/>
  <c r="N57" i="8"/>
  <c r="O57" i="8"/>
  <c r="Q57" i="8" s="1"/>
  <c r="V57" i="8"/>
  <c r="AA57" i="8"/>
  <c r="AF57" i="8"/>
  <c r="AK57" i="8"/>
  <c r="AP57" i="8"/>
  <c r="AU57" i="8"/>
  <c r="AZ57" i="8"/>
  <c r="AT58" i="8"/>
  <c r="AU58" i="8" s="1"/>
  <c r="AZ58" i="8"/>
  <c r="Z60" i="8"/>
  <c r="AA60" i="8" s="1"/>
  <c r="AC60" i="8"/>
  <c r="AC62" i="8" s="1"/>
  <c r="AG60" i="8"/>
  <c r="AH60" i="8" s="1"/>
  <c r="AI60" i="8" s="1"/>
  <c r="AJ60" i="8" s="1"/>
  <c r="AM60" i="8"/>
  <c r="AN60" i="8" s="1"/>
  <c r="AO60" i="8" s="1"/>
  <c r="AR60" i="8"/>
  <c r="AS60" i="8" s="1"/>
  <c r="AT60" i="8" s="1"/>
  <c r="AW60" i="8"/>
  <c r="AX60" i="8"/>
  <c r="C62" i="8"/>
  <c r="H62" i="8"/>
  <c r="M62" i="8"/>
  <c r="P62" i="8"/>
  <c r="R62" i="8"/>
  <c r="S62" i="8"/>
  <c r="W62" i="8"/>
  <c r="W77" i="8" s="1"/>
  <c r="AB62" i="8"/>
  <c r="AV62" i="8"/>
  <c r="AF65" i="8"/>
  <c r="AH65" i="8"/>
  <c r="AI65" i="8"/>
  <c r="AM65" i="8"/>
  <c r="AN65" i="8" s="1"/>
  <c r="AR65" i="8"/>
  <c r="AS65" i="8"/>
  <c r="AU65" i="8" s="1"/>
  <c r="AW65" i="8"/>
  <c r="AX65" i="8" s="1"/>
  <c r="D66" i="8"/>
  <c r="E66" i="8" s="1"/>
  <c r="E74" i="8" s="1"/>
  <c r="I66" i="8"/>
  <c r="J66" i="8"/>
  <c r="N66" i="8"/>
  <c r="O66" i="8" s="1"/>
  <c r="U66" i="8"/>
  <c r="V66" i="8" s="1"/>
  <c r="Y66" i="8"/>
  <c r="AF66" i="8"/>
  <c r="AH66" i="8"/>
  <c r="AI66" i="8" s="1"/>
  <c r="AJ66" i="8" s="1"/>
  <c r="AM66" i="8"/>
  <c r="AN66" i="8" s="1"/>
  <c r="AO66" i="8" s="1"/>
  <c r="AR66" i="8"/>
  <c r="AS66" i="8" s="1"/>
  <c r="AT66" i="8" s="1"/>
  <c r="AW66" i="8"/>
  <c r="AX66" i="8" s="1"/>
  <c r="T67" i="8"/>
  <c r="U67" i="8" s="1"/>
  <c r="Z67" i="8"/>
  <c r="AA67" i="8" s="1"/>
  <c r="AF67" i="8"/>
  <c r="AH67" i="8"/>
  <c r="AK67" i="8" s="1"/>
  <c r="AM67" i="8"/>
  <c r="AN67" i="8" s="1"/>
  <c r="AO67" i="8" s="1"/>
  <c r="AP67" i="8"/>
  <c r="AS67" i="8"/>
  <c r="AT67" i="8" s="1"/>
  <c r="AU67" i="8" s="1"/>
  <c r="AZ67" i="8"/>
  <c r="AI68" i="8"/>
  <c r="AJ68" i="8" s="1"/>
  <c r="AN68" i="8"/>
  <c r="AP68" i="8" s="1"/>
  <c r="AO68" i="8"/>
  <c r="AU68" i="8"/>
  <c r="AI70" i="8"/>
  <c r="AJ70" i="8" s="1"/>
  <c r="AK70" i="8" s="1"/>
  <c r="AM70" i="8"/>
  <c r="AN70" i="8"/>
  <c r="AO70" i="8" s="1"/>
  <c r="AR70" i="8"/>
  <c r="AS70" i="8" s="1"/>
  <c r="AW70" i="8"/>
  <c r="AY70" i="8" s="1"/>
  <c r="AX70" i="8"/>
  <c r="AZ70" i="8" s="1"/>
  <c r="AM71" i="8"/>
  <c r="AN71" i="8" s="1"/>
  <c r="AR71" i="8"/>
  <c r="AS71" i="8" s="1"/>
  <c r="AW71" i="8"/>
  <c r="AX71" i="8" s="1"/>
  <c r="D72" i="8"/>
  <c r="E72" i="8" s="1"/>
  <c r="I72" i="8"/>
  <c r="J72" i="8"/>
  <c r="N72" i="8"/>
  <c r="O72" i="8" s="1"/>
  <c r="T72" i="8"/>
  <c r="X72" i="8"/>
  <c r="X74" i="8" s="1"/>
  <c r="AF72" i="8"/>
  <c r="AH72" i="8"/>
  <c r="AI72" i="8" s="1"/>
  <c r="AI74" i="8" s="1"/>
  <c r="AM72" i="8"/>
  <c r="AN72" i="8" s="1"/>
  <c r="AO72" i="8" s="1"/>
  <c r="AQ72" i="8"/>
  <c r="AQ74" i="8" s="1"/>
  <c r="AW72" i="8"/>
  <c r="AX72" i="8" s="1"/>
  <c r="C74" i="8"/>
  <c r="H74" i="8"/>
  <c r="M74" i="8"/>
  <c r="P74" i="8"/>
  <c r="R74" i="8"/>
  <c r="S74" i="8"/>
  <c r="W74" i="8"/>
  <c r="AB74" i="8"/>
  <c r="AB77" i="8" s="1"/>
  <c r="AC74" i="8"/>
  <c r="AD74" i="8"/>
  <c r="AE74" i="8"/>
  <c r="AG74" i="8"/>
  <c r="AL74" i="8"/>
  <c r="AV74" i="8"/>
  <c r="D76" i="8"/>
  <c r="E76" i="8" s="1"/>
  <c r="I76" i="8"/>
  <c r="K76" i="8" s="1"/>
  <c r="J76" i="8"/>
  <c r="N76" i="8"/>
  <c r="O76" i="8" s="1"/>
  <c r="T76" i="8"/>
  <c r="X76" i="8"/>
  <c r="Y76" i="8" s="1"/>
  <c r="Z76" i="8" s="1"/>
  <c r="AF76" i="8"/>
  <c r="AH76" i="8"/>
  <c r="AI76" i="8" s="1"/>
  <c r="AM76" i="8"/>
  <c r="AN76" i="8" s="1"/>
  <c r="AR76" i="8"/>
  <c r="AT76" i="8" s="1"/>
  <c r="AU76" i="8" s="1"/>
  <c r="AW76" i="8"/>
  <c r="D77" i="8"/>
  <c r="D79" i="8" s="1"/>
  <c r="I77" i="8"/>
  <c r="N77" i="8"/>
  <c r="O77" i="8"/>
  <c r="O79" i="8" s="1"/>
  <c r="T77" i="8"/>
  <c r="U77" i="8"/>
  <c r="C79" i="8"/>
  <c r="H79" i="8"/>
  <c r="M79" i="8"/>
  <c r="P79" i="8"/>
  <c r="R79" i="8"/>
  <c r="S78" i="8" s="1"/>
  <c r="S79" i="8" s="1"/>
  <c r="T78" i="8" s="1"/>
  <c r="D7" i="9"/>
  <c r="G7" i="9" s="1"/>
  <c r="I7" i="9"/>
  <c r="N7" i="9"/>
  <c r="O7" i="9" s="1"/>
  <c r="Q7" i="9" s="1"/>
  <c r="T7" i="9"/>
  <c r="U7" i="9" s="1"/>
  <c r="V7" i="9" s="1"/>
  <c r="X7" i="9"/>
  <c r="Y7" i="9" s="1"/>
  <c r="AF7" i="9"/>
  <c r="AH7" i="9"/>
  <c r="AI7" i="9" s="1"/>
  <c r="AM7" i="9"/>
  <c r="AN7" i="9" s="1"/>
  <c r="AR7" i="9"/>
  <c r="AS7" i="9" s="1"/>
  <c r="AT7" i="9" s="1"/>
  <c r="AW7" i="9"/>
  <c r="D10" i="9"/>
  <c r="G10" i="9" s="1"/>
  <c r="I10" i="9"/>
  <c r="J10" i="9" s="1"/>
  <c r="N10" i="9"/>
  <c r="O10" i="9" s="1"/>
  <c r="Q10" i="9" s="1"/>
  <c r="T10" i="9"/>
  <c r="X10" i="9"/>
  <c r="Y10" i="9" s="1"/>
  <c r="Z10" i="9" s="1"/>
  <c r="AA10" i="9" s="1"/>
  <c r="AF10" i="9"/>
  <c r="AH10" i="9"/>
  <c r="AI10" i="9" s="1"/>
  <c r="AJ10" i="9" s="1"/>
  <c r="AM10" i="9"/>
  <c r="AN10" i="9" s="1"/>
  <c r="AR10" i="9"/>
  <c r="AW10" i="9"/>
  <c r="D11" i="9"/>
  <c r="G11" i="9" s="1"/>
  <c r="I11" i="9"/>
  <c r="J11" i="9" s="1"/>
  <c r="N11" i="9"/>
  <c r="O11" i="9" s="1"/>
  <c r="T11" i="9"/>
  <c r="U11" i="9" s="1"/>
  <c r="V11" i="9" s="1"/>
  <c r="X11" i="9"/>
  <c r="Y11" i="9" s="1"/>
  <c r="Z11" i="9" s="1"/>
  <c r="AF11" i="9"/>
  <c r="AH11" i="9"/>
  <c r="AI11" i="9" s="1"/>
  <c r="AJ11" i="9" s="1"/>
  <c r="AM11" i="9"/>
  <c r="AR11" i="9"/>
  <c r="AS11" i="9" s="1"/>
  <c r="AW11" i="9"/>
  <c r="D12" i="9"/>
  <c r="G12" i="9"/>
  <c r="I12" i="9"/>
  <c r="N12" i="9"/>
  <c r="O12" i="9" s="1"/>
  <c r="T12" i="9"/>
  <c r="U12" i="9" s="1"/>
  <c r="V12" i="9" s="1"/>
  <c r="X12" i="9"/>
  <c r="AF12" i="9"/>
  <c r="AH12" i="9"/>
  <c r="AI12" i="9" s="1"/>
  <c r="AM12" i="9"/>
  <c r="AN12" i="9" s="1"/>
  <c r="AR12" i="9"/>
  <c r="AW12" i="9"/>
  <c r="AX12" i="9" s="1"/>
  <c r="AA13" i="9"/>
  <c r="AF13" i="9"/>
  <c r="AH13" i="9"/>
  <c r="AI13" i="9" s="1"/>
  <c r="AM13" i="9"/>
  <c r="AN13" i="9" s="1"/>
  <c r="AO13" i="9" s="1"/>
  <c r="AP13" i="9" s="1"/>
  <c r="AR13" i="9"/>
  <c r="AS13" i="9" s="1"/>
  <c r="AW13" i="9"/>
  <c r="D14" i="9"/>
  <c r="G14" i="9" s="1"/>
  <c r="L14" i="9"/>
  <c r="O14" i="9"/>
  <c r="Q14" i="9" s="1"/>
  <c r="V14" i="9"/>
  <c r="AA14" i="9"/>
  <c r="AF14" i="9"/>
  <c r="AK14" i="9"/>
  <c r="AP14" i="9"/>
  <c r="AU14" i="9"/>
  <c r="AZ14" i="9"/>
  <c r="D15" i="9"/>
  <c r="G15" i="9" s="1"/>
  <c r="I15" i="9"/>
  <c r="J15" i="9" s="1"/>
  <c r="K15" i="9" s="1"/>
  <c r="L15" i="9" s="1"/>
  <c r="N15" i="9"/>
  <c r="O15" i="9" s="1"/>
  <c r="Q15" i="9" s="1"/>
  <c r="V15" i="9"/>
  <c r="AA15" i="9"/>
  <c r="AF15" i="9"/>
  <c r="AK15" i="9"/>
  <c r="AP15" i="9"/>
  <c r="AU15" i="9"/>
  <c r="AZ15" i="9"/>
  <c r="U16" i="9"/>
  <c r="AA16" i="9"/>
  <c r="AF16" i="9"/>
  <c r="AK16" i="9"/>
  <c r="AP16" i="9"/>
  <c r="AU16" i="9"/>
  <c r="AZ16" i="9"/>
  <c r="U17" i="9"/>
  <c r="V17" i="9" s="1"/>
  <c r="AA17" i="9"/>
  <c r="AF17" i="9"/>
  <c r="AK17" i="9"/>
  <c r="AP17" i="9"/>
  <c r="AU17" i="9"/>
  <c r="AZ17" i="9"/>
  <c r="D18" i="9"/>
  <c r="G18" i="9" s="1"/>
  <c r="I18" i="9"/>
  <c r="J18" i="9" s="1"/>
  <c r="N18" i="9"/>
  <c r="O18" i="9" s="1"/>
  <c r="T18" i="9"/>
  <c r="U18" i="9"/>
  <c r="V18" i="9" s="1"/>
  <c r="X18" i="9"/>
  <c r="AF18" i="9"/>
  <c r="AH18" i="9"/>
  <c r="AI18" i="9" s="1"/>
  <c r="AJ18" i="9" s="1"/>
  <c r="AM18" i="9"/>
  <c r="AR18" i="9"/>
  <c r="AS18" i="9" s="1"/>
  <c r="AT18" i="9" s="1"/>
  <c r="AW18" i="9"/>
  <c r="AX18" i="9" s="1"/>
  <c r="X19" i="9"/>
  <c r="Y19" i="9" s="1"/>
  <c r="Z19" i="9" s="1"/>
  <c r="AA19" i="9" s="1"/>
  <c r="AF19" i="9"/>
  <c r="AK19" i="9"/>
  <c r="AP19" i="9"/>
  <c r="AU19" i="9"/>
  <c r="AZ19" i="9"/>
  <c r="D20" i="9"/>
  <c r="G20" i="9" s="1"/>
  <c r="I20" i="9"/>
  <c r="J20" i="9"/>
  <c r="N20" i="9"/>
  <c r="O20" i="9" s="1"/>
  <c r="Q20" i="9" s="1"/>
  <c r="T20" i="9"/>
  <c r="U20" i="9" s="1"/>
  <c r="X20" i="9"/>
  <c r="AF20" i="9"/>
  <c r="AH20" i="9"/>
  <c r="AI20" i="9" s="1"/>
  <c r="AJ20" i="9" s="1"/>
  <c r="AK20" i="9" s="1"/>
  <c r="AM20" i="9"/>
  <c r="AN20" i="9" s="1"/>
  <c r="AO20" i="9" s="1"/>
  <c r="AR20" i="9"/>
  <c r="AS20" i="9" s="1"/>
  <c r="AT20" i="9" s="1"/>
  <c r="AW20" i="9"/>
  <c r="U21" i="9"/>
  <c r="V21" i="9" s="1"/>
  <c r="X21" i="9"/>
  <c r="Y21" i="9" s="1"/>
  <c r="Z21" i="9" s="1"/>
  <c r="AF21" i="9"/>
  <c r="AH21" i="9"/>
  <c r="AM21" i="9"/>
  <c r="AN21" i="9" s="1"/>
  <c r="AR21" i="9"/>
  <c r="AS21" i="9" s="1"/>
  <c r="AW21" i="9"/>
  <c r="AX21" i="9" s="1"/>
  <c r="I23" i="9"/>
  <c r="J23" i="9" s="1"/>
  <c r="N23" i="9"/>
  <c r="O23" i="9" s="1"/>
  <c r="Q23" i="9" s="1"/>
  <c r="T23" i="9"/>
  <c r="U23" i="9" s="1"/>
  <c r="X23" i="9"/>
  <c r="Y23" i="9" s="1"/>
  <c r="AF23" i="9"/>
  <c r="AH23" i="9"/>
  <c r="AI23" i="9" s="1"/>
  <c r="AJ23" i="9" s="1"/>
  <c r="AM23" i="9"/>
  <c r="AN23" i="9" s="1"/>
  <c r="AO23" i="9" s="1"/>
  <c r="AP23" i="9" s="1"/>
  <c r="AR23" i="9"/>
  <c r="AS23" i="9" s="1"/>
  <c r="AW23" i="9"/>
  <c r="D25" i="9"/>
  <c r="G25" i="9" s="1"/>
  <c r="I25" i="9"/>
  <c r="J25" i="9" s="1"/>
  <c r="N25" i="9"/>
  <c r="O25" i="9" s="1"/>
  <c r="Q25" i="9" s="1"/>
  <c r="T25" i="9"/>
  <c r="X25" i="9"/>
  <c r="Y25" i="9" s="1"/>
  <c r="Z25" i="9" s="1"/>
  <c r="AD25" i="9"/>
  <c r="AH25" i="9"/>
  <c r="AI25" i="9" s="1"/>
  <c r="AJ25" i="9" s="1"/>
  <c r="AM25" i="9"/>
  <c r="AN25" i="9" s="1"/>
  <c r="AO25" i="9" s="1"/>
  <c r="AR25" i="9"/>
  <c r="AW25" i="9"/>
  <c r="D26" i="9"/>
  <c r="G26" i="9" s="1"/>
  <c r="I26" i="9"/>
  <c r="J26" i="9" s="1"/>
  <c r="N26" i="9"/>
  <c r="O26" i="9" s="1"/>
  <c r="T26" i="9"/>
  <c r="U26" i="9" s="1"/>
  <c r="X26" i="9"/>
  <c r="Y26" i="9" s="1"/>
  <c r="AD26" i="9"/>
  <c r="AF26" i="9" s="1"/>
  <c r="AH26" i="9"/>
  <c r="AI26" i="9" s="1"/>
  <c r="AJ26" i="9" s="1"/>
  <c r="AM26" i="9"/>
  <c r="AR26" i="9"/>
  <c r="AS26" i="9" s="1"/>
  <c r="AT26" i="9" s="1"/>
  <c r="AW26" i="9"/>
  <c r="D27" i="9"/>
  <c r="G27" i="9" s="1"/>
  <c r="I27" i="9"/>
  <c r="J27" i="9" s="1"/>
  <c r="Q27" i="9"/>
  <c r="V27" i="9"/>
  <c r="AA27" i="9"/>
  <c r="AF27" i="9"/>
  <c r="AK27" i="9"/>
  <c r="AP27" i="9"/>
  <c r="AU27" i="9"/>
  <c r="AZ27" i="9"/>
  <c r="D28" i="9"/>
  <c r="G28" i="9" s="1"/>
  <c r="I28" i="9"/>
  <c r="J28" i="9" s="1"/>
  <c r="N28" i="9"/>
  <c r="O28" i="9" s="1"/>
  <c r="T28" i="9"/>
  <c r="U28" i="9" s="1"/>
  <c r="V28" i="9" s="1"/>
  <c r="X28" i="9"/>
  <c r="Y28" i="9" s="1"/>
  <c r="Z28" i="9" s="1"/>
  <c r="AF28" i="9"/>
  <c r="AH28" i="9"/>
  <c r="AI28" i="9" s="1"/>
  <c r="AJ28" i="9" s="1"/>
  <c r="AM28" i="9"/>
  <c r="AN28" i="9" s="1"/>
  <c r="AR28" i="9"/>
  <c r="AS28" i="9" s="1"/>
  <c r="AT28" i="9" s="1"/>
  <c r="AW28" i="9"/>
  <c r="AX28" i="9" s="1"/>
  <c r="D29" i="9"/>
  <c r="G29" i="9" s="1"/>
  <c r="I29" i="9"/>
  <c r="N29" i="9"/>
  <c r="O29" i="9" s="1"/>
  <c r="Q29" i="9" s="1"/>
  <c r="T29" i="9"/>
  <c r="X29" i="9"/>
  <c r="Y29" i="9" s="1"/>
  <c r="Z29" i="9" s="1"/>
  <c r="AF29" i="9"/>
  <c r="AK29" i="9"/>
  <c r="AP29" i="9"/>
  <c r="AU29" i="9"/>
  <c r="AZ29" i="9"/>
  <c r="D30" i="9"/>
  <c r="G30" i="9" s="1"/>
  <c r="I30" i="9"/>
  <c r="J30" i="9" s="1"/>
  <c r="N30" i="9"/>
  <c r="T30" i="9"/>
  <c r="U30" i="9" s="1"/>
  <c r="V30" i="9" s="1"/>
  <c r="X30" i="9"/>
  <c r="Y30" i="9" s="1"/>
  <c r="Z30" i="9" s="1"/>
  <c r="AF30" i="9"/>
  <c r="AH30" i="9"/>
  <c r="AM30" i="9"/>
  <c r="AN30" i="9" s="1"/>
  <c r="AO30" i="9" s="1"/>
  <c r="AP30" i="9" s="1"/>
  <c r="AR30" i="9"/>
  <c r="AS30" i="9" s="1"/>
  <c r="AW30" i="9"/>
  <c r="AX30" i="9" s="1"/>
  <c r="D31" i="9"/>
  <c r="G31" i="9" s="1"/>
  <c r="I31" i="9"/>
  <c r="J31" i="9" s="1"/>
  <c r="N31" i="9"/>
  <c r="O31" i="9" s="1"/>
  <c r="T31" i="9"/>
  <c r="U31" i="9" s="1"/>
  <c r="V31" i="9" s="1"/>
  <c r="X31" i="9"/>
  <c r="Y31" i="9" s="1"/>
  <c r="AD31" i="9"/>
  <c r="AF31" i="9" s="1"/>
  <c r="AH31" i="9"/>
  <c r="AI31" i="9" s="1"/>
  <c r="AM31" i="9"/>
  <c r="AN31" i="9" s="1"/>
  <c r="AR31" i="9"/>
  <c r="AW31" i="9"/>
  <c r="AX31" i="9" s="1"/>
  <c r="AY31" i="9" s="1"/>
  <c r="C33" i="9"/>
  <c r="C35" i="9" s="1"/>
  <c r="E33" i="9"/>
  <c r="E35" i="9" s="1"/>
  <c r="F33" i="9"/>
  <c r="F35" i="9" s="1"/>
  <c r="H33" i="9"/>
  <c r="M33" i="9"/>
  <c r="M35" i="9" s="1"/>
  <c r="P33" i="9"/>
  <c r="P35" i="9" s="1"/>
  <c r="R33" i="9"/>
  <c r="R35" i="9" s="1"/>
  <c r="S33" i="9"/>
  <c r="S35" i="9" s="1"/>
  <c r="W33" i="9"/>
  <c r="W35" i="9" s="1"/>
  <c r="AB33" i="9"/>
  <c r="AB35" i="9" s="1"/>
  <c r="AC33" i="9"/>
  <c r="AC35" i="9" s="1"/>
  <c r="AE33" i="9"/>
  <c r="AE35" i="9" s="1"/>
  <c r="AG33" i="9"/>
  <c r="AG35" i="9" s="1"/>
  <c r="AL33" i="9"/>
  <c r="AL35" i="9" s="1"/>
  <c r="AQ33" i="9"/>
  <c r="AQ35" i="9" s="1"/>
  <c r="AV33" i="9"/>
  <c r="AV35" i="9" s="1"/>
  <c r="D34" i="9"/>
  <c r="G34" i="9" s="1"/>
  <c r="I34" i="9"/>
  <c r="J34" i="9" s="1"/>
  <c r="N34" i="9"/>
  <c r="O34" i="9" s="1"/>
  <c r="Q34" i="9" s="1"/>
  <c r="T34" i="9"/>
  <c r="U34" i="9" s="1"/>
  <c r="X34" i="9"/>
  <c r="Y34" i="9" s="1"/>
  <c r="AF34" i="9"/>
  <c r="AH34" i="9"/>
  <c r="AI34" i="9" s="1"/>
  <c r="AJ34" i="9" s="1"/>
  <c r="AM34" i="9"/>
  <c r="AN34" i="9" s="1"/>
  <c r="AR34" i="9"/>
  <c r="AS34" i="9" s="1"/>
  <c r="AT34" i="9" s="1"/>
  <c r="AU34" i="9" s="1"/>
  <c r="AW34" i="9"/>
  <c r="AX34" i="9" s="1"/>
  <c r="AY34" i="9" s="1"/>
  <c r="AZ34" i="9" s="1"/>
  <c r="G38" i="9"/>
  <c r="I38" i="9"/>
  <c r="J38" i="9" s="1"/>
  <c r="O38" i="9"/>
  <c r="Q38" i="9" s="1"/>
  <c r="T38" i="9"/>
  <c r="U38" i="9" s="1"/>
  <c r="X38" i="9"/>
  <c r="Y38" i="9" s="1"/>
  <c r="Z38" i="9" s="1"/>
  <c r="AF38" i="9"/>
  <c r="AH38" i="9"/>
  <c r="AI38" i="9" s="1"/>
  <c r="AM38" i="9"/>
  <c r="AN38" i="9" s="1"/>
  <c r="AO38" i="9" s="1"/>
  <c r="AP38" i="9" s="1"/>
  <c r="AQ38" i="9"/>
  <c r="AQ64" i="9"/>
  <c r="AW38" i="9"/>
  <c r="AX38" i="9" s="1"/>
  <c r="G39" i="9"/>
  <c r="L39" i="9"/>
  <c r="O39" i="9"/>
  <c r="Q39" i="9" s="1"/>
  <c r="V39" i="9"/>
  <c r="AA39" i="9"/>
  <c r="AF39" i="9"/>
  <c r="AK39" i="9"/>
  <c r="AP39" i="9"/>
  <c r="AU39" i="9"/>
  <c r="AZ39" i="9"/>
  <c r="I40" i="9"/>
  <c r="J40" i="9" s="1"/>
  <c r="N40" i="9"/>
  <c r="O40" i="9" s="1"/>
  <c r="Q40" i="9" s="1"/>
  <c r="T40" i="9"/>
  <c r="U40" i="9" s="1"/>
  <c r="X40" i="9"/>
  <c r="AF40" i="9"/>
  <c r="AK40" i="9"/>
  <c r="AN40" i="9"/>
  <c r="AP40" i="9" s="1"/>
  <c r="AR40" i="9"/>
  <c r="AU40" i="9" s="1"/>
  <c r="AZ40" i="9"/>
  <c r="D41" i="9"/>
  <c r="G41" i="9" s="1"/>
  <c r="I41" i="9"/>
  <c r="N41" i="9"/>
  <c r="O41" i="9"/>
  <c r="Q41" i="9" s="1"/>
  <c r="T41" i="9"/>
  <c r="U41" i="9" s="1"/>
  <c r="X41" i="9"/>
  <c r="Y41" i="9" s="1"/>
  <c r="AF41" i="9"/>
  <c r="AH41" i="9"/>
  <c r="AI41" i="9" s="1"/>
  <c r="AM41" i="9"/>
  <c r="AN41" i="9" s="1"/>
  <c r="AO41" i="9" s="1"/>
  <c r="AR41" i="9"/>
  <c r="AS41" i="9" s="1"/>
  <c r="AT41" i="9" s="1"/>
  <c r="AW41" i="9"/>
  <c r="AX41" i="9" s="1"/>
  <c r="D42" i="9"/>
  <c r="G42" i="9" s="1"/>
  <c r="I42" i="9"/>
  <c r="J42" i="9" s="1"/>
  <c r="N42" i="9"/>
  <c r="O42" i="9" s="1"/>
  <c r="Q42" i="9" s="1"/>
  <c r="T42" i="9"/>
  <c r="U42" i="9" s="1"/>
  <c r="X42" i="9"/>
  <c r="Y42" i="9" s="1"/>
  <c r="Z42" i="9" s="1"/>
  <c r="AF42" i="9"/>
  <c r="AK42" i="9"/>
  <c r="AP42" i="9"/>
  <c r="AU42" i="9"/>
  <c r="AZ42" i="9"/>
  <c r="D43" i="9"/>
  <c r="G43" i="9" s="1"/>
  <c r="I43" i="9"/>
  <c r="J43" i="9" s="1"/>
  <c r="K43" i="9" s="1"/>
  <c r="L43" i="9" s="1"/>
  <c r="N43" i="9"/>
  <c r="O43" i="9" s="1"/>
  <c r="Q43" i="9" s="1"/>
  <c r="T43" i="9"/>
  <c r="U43" i="9" s="1"/>
  <c r="X43" i="9"/>
  <c r="Y43" i="9" s="1"/>
  <c r="Z43" i="9" s="1"/>
  <c r="AF43" i="9"/>
  <c r="AH43" i="9"/>
  <c r="AI43" i="9" s="1"/>
  <c r="AJ43" i="9" s="1"/>
  <c r="AM43" i="9"/>
  <c r="AR43" i="9"/>
  <c r="AS43" i="9" s="1"/>
  <c r="AT43" i="9" s="1"/>
  <c r="AW43" i="9"/>
  <c r="AX43" i="9" s="1"/>
  <c r="AY43" i="9" s="1"/>
  <c r="AM44" i="9"/>
  <c r="AN44" i="9" s="1"/>
  <c r="AR44" i="9"/>
  <c r="AS44" i="9" s="1"/>
  <c r="AW44" i="9"/>
  <c r="AX44" i="9" s="1"/>
  <c r="D45" i="9"/>
  <c r="G45" i="9" s="1"/>
  <c r="I45" i="9"/>
  <c r="J45" i="9" s="1"/>
  <c r="N45" i="9"/>
  <c r="O45" i="9" s="1"/>
  <c r="T45" i="9"/>
  <c r="U45" i="9" s="1"/>
  <c r="X45" i="9"/>
  <c r="AF45" i="9"/>
  <c r="AH45" i="9"/>
  <c r="AI45" i="9" s="1"/>
  <c r="AM45" i="9"/>
  <c r="AN45" i="9" s="1"/>
  <c r="AO45" i="9" s="1"/>
  <c r="AR45" i="9"/>
  <c r="AS45" i="9"/>
  <c r="AT45" i="9" s="1"/>
  <c r="AW45" i="9"/>
  <c r="AX45" i="9" s="1"/>
  <c r="AY45" i="9" s="1"/>
  <c r="D46" i="9"/>
  <c r="G46" i="9" s="1"/>
  <c r="I46" i="9"/>
  <c r="J46" i="9" s="1"/>
  <c r="N46" i="9"/>
  <c r="O46" i="9" s="1"/>
  <c r="Q46" i="9" s="1"/>
  <c r="T46" i="9"/>
  <c r="U46" i="9" s="1"/>
  <c r="X46" i="9"/>
  <c r="AD46" i="9"/>
  <c r="AH46" i="9"/>
  <c r="AI46" i="9" s="1"/>
  <c r="AJ46" i="9" s="1"/>
  <c r="AM46" i="9"/>
  <c r="AR46" i="9"/>
  <c r="AS46" i="9" s="1"/>
  <c r="AW46" i="9"/>
  <c r="G47" i="9"/>
  <c r="L47" i="9"/>
  <c r="N47" i="9"/>
  <c r="O47" i="9" s="1"/>
  <c r="T47" i="9"/>
  <c r="U47" i="9" s="1"/>
  <c r="V47" i="9" s="1"/>
  <c r="X47" i="9"/>
  <c r="Y47" i="9" s="1"/>
  <c r="Z47" i="9" s="1"/>
  <c r="AD47" i="9"/>
  <c r="AF47" i="9" s="1"/>
  <c r="AH47" i="9"/>
  <c r="AI47" i="9" s="1"/>
  <c r="AM47" i="9"/>
  <c r="AR47" i="9"/>
  <c r="AS47" i="9" s="1"/>
  <c r="AT47" i="9" s="1"/>
  <c r="AU47" i="9" s="1"/>
  <c r="AW47" i="9"/>
  <c r="AX47" i="9" s="1"/>
  <c r="D48" i="9"/>
  <c r="L48" i="9"/>
  <c r="O48" i="9"/>
  <c r="Q48" i="9" s="1"/>
  <c r="V48" i="9"/>
  <c r="AA48" i="9"/>
  <c r="AF48" i="9"/>
  <c r="AK48" i="9"/>
  <c r="AP48" i="9"/>
  <c r="AU48" i="9"/>
  <c r="AZ48" i="9"/>
  <c r="D49" i="9"/>
  <c r="G49" i="9" s="1"/>
  <c r="I49" i="9"/>
  <c r="J49" i="9" s="1"/>
  <c r="O49" i="9"/>
  <c r="Q49" i="9" s="1"/>
  <c r="V49" i="9"/>
  <c r="AA49" i="9"/>
  <c r="AF49" i="9"/>
  <c r="AK49" i="9"/>
  <c r="AP49" i="9"/>
  <c r="AU49" i="9"/>
  <c r="AZ49" i="9"/>
  <c r="G50" i="9"/>
  <c r="L50" i="9"/>
  <c r="O50" i="9"/>
  <c r="Q50" i="9" s="1"/>
  <c r="T50" i="9"/>
  <c r="U50" i="9" s="1"/>
  <c r="Y50" i="9"/>
  <c r="Z50" i="9" s="1"/>
  <c r="AA50" i="9" s="1"/>
  <c r="AF50" i="9"/>
  <c r="AI50" i="9"/>
  <c r="AJ50" i="9" s="1"/>
  <c r="AN50" i="9"/>
  <c r="AO50" i="9" s="1"/>
  <c r="AR50" i="9"/>
  <c r="AS50" i="9" s="1"/>
  <c r="AZ50" i="9"/>
  <c r="D51" i="9"/>
  <c r="G51" i="9" s="1"/>
  <c r="I51" i="9"/>
  <c r="J51" i="9" s="1"/>
  <c r="N51" i="9"/>
  <c r="T51" i="9"/>
  <c r="U51" i="9" s="1"/>
  <c r="V51" i="9" s="1"/>
  <c r="X51" i="9"/>
  <c r="Y51" i="9" s="1"/>
  <c r="Z51" i="9" s="1"/>
  <c r="AF51" i="9"/>
  <c r="AH51" i="9"/>
  <c r="AM51" i="9"/>
  <c r="AN51" i="9"/>
  <c r="AO51" i="9" s="1"/>
  <c r="AR51" i="9"/>
  <c r="AS51" i="9" s="1"/>
  <c r="AT51" i="9" s="1"/>
  <c r="AU51" i="9" s="1"/>
  <c r="AW51" i="9"/>
  <c r="AX51" i="9" s="1"/>
  <c r="AP52" i="9"/>
  <c r="AT52" i="9"/>
  <c r="AU52" i="9" s="1"/>
  <c r="AZ52" i="9"/>
  <c r="D54" i="9"/>
  <c r="G54" i="9" s="1"/>
  <c r="I54" i="9"/>
  <c r="J54" i="9" s="1"/>
  <c r="K54" i="9" s="1"/>
  <c r="L54" i="9" s="1"/>
  <c r="N54" i="9"/>
  <c r="O54" i="9" s="1"/>
  <c r="T54" i="9"/>
  <c r="U54" i="9" s="1"/>
  <c r="V54" i="9" s="1"/>
  <c r="X54" i="9"/>
  <c r="AF54" i="9"/>
  <c r="AH54" i="9"/>
  <c r="AI54" i="9" s="1"/>
  <c r="AJ54" i="9" s="1"/>
  <c r="AM54" i="9"/>
  <c r="AN54" i="9" s="1"/>
  <c r="AR54" i="9"/>
  <c r="AS54" i="9" s="1"/>
  <c r="AW54" i="9"/>
  <c r="AX54" i="9" s="1"/>
  <c r="G55" i="9"/>
  <c r="I55" i="9"/>
  <c r="J55" i="9" s="1"/>
  <c r="N55" i="9"/>
  <c r="O55" i="9" s="1"/>
  <c r="T55" i="9"/>
  <c r="U55" i="9" s="1"/>
  <c r="X55" i="9"/>
  <c r="Y55" i="9" s="1"/>
  <c r="AF55" i="9"/>
  <c r="AI55" i="9"/>
  <c r="AJ55" i="9" s="1"/>
  <c r="AK55" i="9" s="1"/>
  <c r="AM55" i="9"/>
  <c r="AN55" i="9" s="1"/>
  <c r="AO55" i="9" s="1"/>
  <c r="AP55" i="9" s="1"/>
  <c r="AR55" i="9"/>
  <c r="AS55" i="9" s="1"/>
  <c r="AT55" i="9" s="1"/>
  <c r="AW55" i="9"/>
  <c r="AX55" i="9" s="1"/>
  <c r="AY55" i="9" s="1"/>
  <c r="AZ55" i="9" s="1"/>
  <c r="Z56" i="9"/>
  <c r="AA56" i="9" s="1"/>
  <c r="AF56" i="9"/>
  <c r="AH56" i="9"/>
  <c r="AK56" i="9" s="1"/>
  <c r="AM56" i="9"/>
  <c r="AN56" i="9" s="1"/>
  <c r="AO56" i="9" s="1"/>
  <c r="AR56" i="9"/>
  <c r="AS56" i="9" s="1"/>
  <c r="AZ56" i="9"/>
  <c r="AF57" i="9"/>
  <c r="AK57" i="9"/>
  <c r="AM57" i="9"/>
  <c r="AN57" i="9" s="1"/>
  <c r="AO57" i="9" s="1"/>
  <c r="AP57" i="9" s="1"/>
  <c r="AR57" i="9"/>
  <c r="AS57" i="9" s="1"/>
  <c r="AZ57" i="9"/>
  <c r="G58" i="9"/>
  <c r="L58" i="9"/>
  <c r="O58" i="9"/>
  <c r="Q58" i="9" s="1"/>
  <c r="T58" i="9"/>
  <c r="X58" i="9"/>
  <c r="Y58" i="9" s="1"/>
  <c r="Z58" i="9" s="1"/>
  <c r="AF58" i="9"/>
  <c r="AK58" i="9"/>
  <c r="AM58" i="9"/>
  <c r="AN58" i="9" s="1"/>
  <c r="AO58" i="9" s="1"/>
  <c r="AP58" i="9" s="1"/>
  <c r="AR58" i="9"/>
  <c r="AS58" i="9" s="1"/>
  <c r="AW58" i="9"/>
  <c r="AX58" i="9" s="1"/>
  <c r="AY58" i="9" s="1"/>
  <c r="AZ58" i="9" s="1"/>
  <c r="U59" i="9"/>
  <c r="V59" i="9" s="1"/>
  <c r="Z59" i="9"/>
  <c r="AA59" i="9" s="1"/>
  <c r="AF59" i="9"/>
  <c r="AK59" i="9"/>
  <c r="AP59" i="9"/>
  <c r="AR59" i="9"/>
  <c r="AS59" i="9" s="1"/>
  <c r="AT59" i="9" s="1"/>
  <c r="AW59" i="9"/>
  <c r="AX59" i="9" s="1"/>
  <c r="AY59" i="9" s="1"/>
  <c r="AZ59" i="9" s="1"/>
  <c r="V60" i="9"/>
  <c r="X60" i="9"/>
  <c r="Y60" i="9" s="1"/>
  <c r="Z60" i="9" s="1"/>
  <c r="AF60" i="9"/>
  <c r="AK60" i="9"/>
  <c r="AP60" i="9"/>
  <c r="AR60" i="9"/>
  <c r="AS60" i="9" s="1"/>
  <c r="AT60" i="9" s="1"/>
  <c r="AW60" i="9"/>
  <c r="AX60" i="9" s="1"/>
  <c r="AY60" i="9" s="1"/>
  <c r="D61" i="9"/>
  <c r="G61" i="9" s="1"/>
  <c r="L61" i="9"/>
  <c r="O61" i="9"/>
  <c r="Q61" i="9" s="1"/>
  <c r="T61" i="9"/>
  <c r="U61" i="9" s="1"/>
  <c r="V61" i="9" s="1"/>
  <c r="X61" i="9"/>
  <c r="Y61" i="9" s="1"/>
  <c r="Z61" i="9" s="1"/>
  <c r="AF61" i="9"/>
  <c r="AH61" i="9"/>
  <c r="AM61" i="9"/>
  <c r="AN61" i="9" s="1"/>
  <c r="AO61" i="9" s="1"/>
  <c r="AR61" i="9"/>
  <c r="AW61" i="9"/>
  <c r="Z62" i="9"/>
  <c r="AA62" i="9" s="1"/>
  <c r="AF62" i="9"/>
  <c r="AG62" i="9"/>
  <c r="AG64" i="9" s="1"/>
  <c r="AM62" i="9"/>
  <c r="AN62" i="9"/>
  <c r="AO62" i="9" s="1"/>
  <c r="AR62" i="9"/>
  <c r="AS62" i="9" s="1"/>
  <c r="AW62" i="9"/>
  <c r="C64" i="9"/>
  <c r="E64" i="9"/>
  <c r="F64" i="9"/>
  <c r="H64" i="9"/>
  <c r="M64" i="9"/>
  <c r="P64" i="9"/>
  <c r="R64" i="9"/>
  <c r="S64" i="9"/>
  <c r="W64" i="9"/>
  <c r="AB64" i="9"/>
  <c r="AC64" i="9"/>
  <c r="AE64" i="9"/>
  <c r="AE79" i="9" s="1"/>
  <c r="AL64" i="9"/>
  <c r="AV64" i="9"/>
  <c r="G67" i="9"/>
  <c r="L67" i="9"/>
  <c r="O67" i="9"/>
  <c r="Q67" i="9" s="1"/>
  <c r="U67" i="9"/>
  <c r="V67" i="9" s="1"/>
  <c r="Y67" i="9"/>
  <c r="Z67" i="9" s="1"/>
  <c r="AF67" i="9"/>
  <c r="AH67" i="9"/>
  <c r="AI67" i="9" s="1"/>
  <c r="AJ67" i="9" s="1"/>
  <c r="AM67" i="9"/>
  <c r="AN67" i="9" s="1"/>
  <c r="AR67" i="9"/>
  <c r="AS67" i="9" s="1"/>
  <c r="AF68" i="9"/>
  <c r="AH68" i="9"/>
  <c r="AM68" i="9"/>
  <c r="AR68" i="9"/>
  <c r="AS68" i="9" s="1"/>
  <c r="AT68" i="9" s="1"/>
  <c r="AU68" i="9" s="1"/>
  <c r="AW68" i="9"/>
  <c r="AX68" i="9" s="1"/>
  <c r="AY68" i="9" s="1"/>
  <c r="D69" i="9"/>
  <c r="D76" i="9" s="1"/>
  <c r="I69" i="9"/>
  <c r="I76" i="9" s="1"/>
  <c r="N69" i="9"/>
  <c r="O69" i="9" s="1"/>
  <c r="T69" i="9"/>
  <c r="U69" i="9" s="1"/>
  <c r="X69" i="9"/>
  <c r="X76" i="9" s="1"/>
  <c r="AF69" i="9"/>
  <c r="AH69" i="9"/>
  <c r="AI69" i="9" s="1"/>
  <c r="AM69" i="9"/>
  <c r="AQ69" i="9"/>
  <c r="AR69" i="9" s="1"/>
  <c r="AW69" i="9"/>
  <c r="AX69" i="9" s="1"/>
  <c r="G70" i="9"/>
  <c r="L70" i="9"/>
  <c r="Q70" i="9"/>
  <c r="T70" i="9"/>
  <c r="T76" i="9" s="1"/>
  <c r="Y70" i="9"/>
  <c r="Z70" i="9" s="1"/>
  <c r="AF70" i="9"/>
  <c r="AH70" i="9"/>
  <c r="AI70" i="9" s="1"/>
  <c r="AM70" i="9"/>
  <c r="AN70" i="9" s="1"/>
  <c r="AO70" i="9" s="1"/>
  <c r="AR70" i="9"/>
  <c r="AS70" i="9"/>
  <c r="AT70" i="9" s="1"/>
  <c r="AI71" i="9"/>
  <c r="AJ71" i="9" s="1"/>
  <c r="AK71" i="9" s="1"/>
  <c r="AN71" i="9"/>
  <c r="AO71" i="9" s="1"/>
  <c r="AP71" i="9" s="1"/>
  <c r="AU71" i="9"/>
  <c r="AH73" i="9"/>
  <c r="AI73" i="9" s="1"/>
  <c r="AM73" i="9"/>
  <c r="AN73" i="9" s="1"/>
  <c r="AO73" i="9" s="1"/>
  <c r="AR73" i="9"/>
  <c r="AS73" i="9" s="1"/>
  <c r="AT73" i="9" s="1"/>
  <c r="AU73" i="9" s="1"/>
  <c r="AW73" i="9"/>
  <c r="AX73" i="9" s="1"/>
  <c r="AM74" i="9"/>
  <c r="AN74" i="9" s="1"/>
  <c r="AO74" i="9" s="1"/>
  <c r="AR74" i="9"/>
  <c r="AS74" i="9" s="1"/>
  <c r="AW74" i="9"/>
  <c r="AX74" i="9" s="1"/>
  <c r="AX76" i="9" s="1"/>
  <c r="C76" i="9"/>
  <c r="E76" i="9"/>
  <c r="F76" i="9"/>
  <c r="H76" i="9"/>
  <c r="M76" i="9"/>
  <c r="P76" i="9"/>
  <c r="R76" i="9"/>
  <c r="S76" i="9"/>
  <c r="W76" i="9"/>
  <c r="AB76" i="9"/>
  <c r="AC76" i="9"/>
  <c r="AF76" i="9" s="1"/>
  <c r="AD76" i="9"/>
  <c r="AE76" i="9"/>
  <c r="AG76" i="9"/>
  <c r="AL76" i="9"/>
  <c r="AV76" i="9"/>
  <c r="D78" i="9"/>
  <c r="G78" i="9" s="1"/>
  <c r="I78" i="9"/>
  <c r="J78" i="9" s="1"/>
  <c r="K78" i="9" s="1"/>
  <c r="L78" i="9" s="1"/>
  <c r="N78" i="9"/>
  <c r="O78" i="9" s="1"/>
  <c r="Q78" i="9" s="1"/>
  <c r="T78" i="9"/>
  <c r="U78" i="9" s="1"/>
  <c r="X78" i="9"/>
  <c r="Y78" i="9" s="1"/>
  <c r="Z78" i="9" s="1"/>
  <c r="AF78" i="9"/>
  <c r="AH78" i="9"/>
  <c r="AM78" i="9"/>
  <c r="AN78" i="9" s="1"/>
  <c r="AO78" i="9" s="1"/>
  <c r="AP78" i="9" s="1"/>
  <c r="AR78" i="9"/>
  <c r="AS78" i="9" s="1"/>
  <c r="AW78" i="9"/>
  <c r="AX78" i="9" s="1"/>
  <c r="D79" i="9"/>
  <c r="G79" i="9" s="1"/>
  <c r="I79" i="9"/>
  <c r="J79" i="9" s="1"/>
  <c r="G80" i="9"/>
  <c r="D85" i="9"/>
  <c r="AL7" i="10"/>
  <c r="AQ7" i="10"/>
  <c r="J9" i="10"/>
  <c r="J12" i="10"/>
  <c r="AL13" i="10"/>
  <c r="AL14" i="10"/>
  <c r="AG15" i="10"/>
  <c r="H19" i="10"/>
  <c r="M19" i="10"/>
  <c r="R19" i="10"/>
  <c r="W19" i="10"/>
  <c r="AB19" i="10"/>
  <c r="H20" i="10"/>
  <c r="M20" i="10"/>
  <c r="R20" i="10"/>
  <c r="W20" i="10"/>
  <c r="AB20" i="10"/>
  <c r="H21" i="10"/>
  <c r="M21" i="10"/>
  <c r="R21" i="10"/>
  <c r="AD32" i="10"/>
  <c r="AE32" i="10"/>
  <c r="D53" i="10"/>
  <c r="D70" i="10" s="1"/>
  <c r="E53" i="10"/>
  <c r="F53" i="10"/>
  <c r="G53" i="10"/>
  <c r="H53" i="10"/>
  <c r="I53" i="10"/>
  <c r="I70" i="10" s="1"/>
  <c r="J53" i="10"/>
  <c r="K53" i="10"/>
  <c r="K70" i="10" s="1"/>
  <c r="L53" i="10"/>
  <c r="M53" i="10"/>
  <c r="N53" i="10"/>
  <c r="O53" i="10"/>
  <c r="P53" i="10"/>
  <c r="Q53" i="10"/>
  <c r="R53" i="10"/>
  <c r="R70" i="10" s="1"/>
  <c r="S53" i="10"/>
  <c r="T53" i="10"/>
  <c r="U53" i="10"/>
  <c r="V53" i="10"/>
  <c r="V70" i="10"/>
  <c r="W53" i="10"/>
  <c r="D59" i="10"/>
  <c r="E59" i="10"/>
  <c r="F59" i="10"/>
  <c r="G59" i="10"/>
  <c r="H59" i="10"/>
  <c r="I59" i="10"/>
  <c r="J59" i="10"/>
  <c r="K59" i="10"/>
  <c r="L59" i="10"/>
  <c r="M59" i="10"/>
  <c r="N59" i="10"/>
  <c r="O59" i="10"/>
  <c r="P59" i="10"/>
  <c r="Q59" i="10"/>
  <c r="R59" i="10"/>
  <c r="S59" i="10"/>
  <c r="T59" i="10"/>
  <c r="U59" i="10"/>
  <c r="V59" i="10"/>
  <c r="W59" i="10"/>
  <c r="D65" i="10"/>
  <c r="E65" i="10"/>
  <c r="F65" i="10"/>
  <c r="G65" i="10"/>
  <c r="H65" i="10"/>
  <c r="I65" i="10"/>
  <c r="J65" i="10"/>
  <c r="J70" i="10" s="1"/>
  <c r="K65" i="10"/>
  <c r="L65" i="10"/>
  <c r="M65" i="10"/>
  <c r="N65" i="10"/>
  <c r="N70" i="10" s="1"/>
  <c r="O65" i="10"/>
  <c r="O70" i="10" s="1"/>
  <c r="P65" i="10"/>
  <c r="Q65" i="10"/>
  <c r="R65" i="10"/>
  <c r="S65" i="10"/>
  <c r="T65" i="10"/>
  <c r="U65" i="10"/>
  <c r="V65" i="10"/>
  <c r="W65" i="10"/>
  <c r="S81" i="10"/>
  <c r="T81" i="10"/>
  <c r="U81" i="10"/>
  <c r="V81" i="10"/>
  <c r="W81" i="10"/>
  <c r="X81" i="10"/>
  <c r="Y81" i="10"/>
  <c r="Z81" i="10"/>
  <c r="AA81" i="10"/>
  <c r="AB81" i="10"/>
  <c r="AC81" i="10"/>
  <c r="AD81" i="10"/>
  <c r="AE81" i="10"/>
  <c r="AF81" i="10"/>
  <c r="AG81" i="10"/>
  <c r="AH81" i="10"/>
  <c r="AI81" i="10"/>
  <c r="AJ81" i="10"/>
  <c r="AK81" i="10"/>
  <c r="AL81" i="10"/>
  <c r="AM81" i="10"/>
  <c r="AN81" i="10"/>
  <c r="AO81" i="10"/>
  <c r="AP81" i="10"/>
  <c r="AQ81" i="10"/>
  <c r="AR81" i="10"/>
  <c r="AS81" i="10"/>
  <c r="AT81" i="10"/>
  <c r="AU81" i="10"/>
  <c r="AV81" i="10"/>
  <c r="AW81" i="10"/>
  <c r="AX81" i="10"/>
  <c r="AY81" i="10"/>
  <c r="D86" i="10"/>
  <c r="E86" i="10"/>
  <c r="F86" i="10"/>
  <c r="G86" i="10"/>
  <c r="H86" i="10"/>
  <c r="I86" i="10"/>
  <c r="J86" i="10"/>
  <c r="K86" i="10"/>
  <c r="L86" i="10"/>
  <c r="M86" i="10"/>
  <c r="N86" i="10"/>
  <c r="O86" i="10"/>
  <c r="P86" i="10"/>
  <c r="Q86" i="10"/>
  <c r="R86" i="10"/>
  <c r="S86" i="10"/>
  <c r="T86" i="10"/>
  <c r="U86" i="10"/>
  <c r="V86" i="10"/>
  <c r="W86" i="10"/>
  <c r="D93" i="10"/>
  <c r="E93" i="10"/>
  <c r="E109" i="10" s="1"/>
  <c r="F93" i="10"/>
  <c r="F109" i="10" s="1"/>
  <c r="G93" i="10"/>
  <c r="G109" i="10" s="1"/>
  <c r="H93" i="10"/>
  <c r="I93" i="10"/>
  <c r="J93" i="10"/>
  <c r="K93" i="10"/>
  <c r="L93" i="10"/>
  <c r="M93" i="10"/>
  <c r="M109" i="10" s="1"/>
  <c r="N93" i="10"/>
  <c r="O93" i="10"/>
  <c r="P93" i="10"/>
  <c r="Q93" i="10"/>
  <c r="R93" i="10"/>
  <c r="S93" i="10"/>
  <c r="S109" i="10"/>
  <c r="T93" i="10"/>
  <c r="T109" i="10" s="1"/>
  <c r="U93" i="10"/>
  <c r="U109" i="10"/>
  <c r="V93" i="10"/>
  <c r="V109" i="10" s="1"/>
  <c r="W93" i="10"/>
  <c r="W109" i="10" s="1"/>
  <c r="D104" i="10"/>
  <c r="E104" i="10"/>
  <c r="F104" i="10"/>
  <c r="G104" i="10"/>
  <c r="H104" i="10"/>
  <c r="H109" i="10"/>
  <c r="I104" i="10"/>
  <c r="J104" i="10"/>
  <c r="K104" i="10"/>
  <c r="L104" i="10"/>
  <c r="L109" i="10" s="1"/>
  <c r="M104" i="10"/>
  <c r="N104" i="10"/>
  <c r="O104" i="10"/>
  <c r="P104" i="10"/>
  <c r="P109" i="10" s="1"/>
  <c r="Q104" i="10"/>
  <c r="R104" i="10"/>
  <c r="S112" i="10"/>
  <c r="T112" i="10"/>
  <c r="U112" i="10"/>
  <c r="V112" i="10"/>
  <c r="W112" i="10"/>
  <c r="X112" i="10"/>
  <c r="Y112" i="10"/>
  <c r="Z112" i="10"/>
  <c r="AA112" i="10"/>
  <c r="AB112" i="10"/>
  <c r="S113" i="10"/>
  <c r="T113" i="10"/>
  <c r="U113" i="10"/>
  <c r="V113" i="10"/>
  <c r="W113" i="10"/>
  <c r="X113" i="10"/>
  <c r="Y113" i="10"/>
  <c r="Z113" i="10"/>
  <c r="AA113" i="10"/>
  <c r="AB113" i="10"/>
  <c r="AD113" i="10"/>
  <c r="AE113" i="10"/>
  <c r="S115" i="10"/>
  <c r="T115" i="10"/>
  <c r="U115" i="10"/>
  <c r="V115" i="10"/>
  <c r="W115" i="10"/>
  <c r="X115" i="10"/>
  <c r="Y115" i="10"/>
  <c r="Z115" i="10"/>
  <c r="AA115" i="10"/>
  <c r="AB115" i="10"/>
  <c r="AD115" i="10"/>
  <c r="AE115" i="10"/>
  <c r="AF115" i="10"/>
  <c r="AG115" i="10"/>
  <c r="S119" i="10"/>
  <c r="T119" i="10"/>
  <c r="U119" i="10"/>
  <c r="V119" i="10"/>
  <c r="W119" i="10"/>
  <c r="X119" i="10"/>
  <c r="Y119" i="10"/>
  <c r="Z119" i="10"/>
  <c r="AA119" i="10"/>
  <c r="AB119" i="10"/>
  <c r="AS119" i="10"/>
  <c r="H130" i="10"/>
  <c r="M130" i="10"/>
  <c r="R130" i="10"/>
  <c r="W130" i="10"/>
  <c r="AB130" i="10"/>
  <c r="AG130" i="10"/>
  <c r="AL130" i="10"/>
  <c r="AQ130" i="10"/>
  <c r="H135" i="10"/>
  <c r="H136" i="10"/>
  <c r="H137" i="10"/>
  <c r="H138" i="10"/>
  <c r="H139" i="10"/>
  <c r="H140" i="10"/>
  <c r="H141" i="10"/>
  <c r="H142" i="10"/>
  <c r="H147" i="10"/>
  <c r="M147" i="10"/>
  <c r="R147" i="10"/>
  <c r="W147" i="10"/>
  <c r="H148" i="10"/>
  <c r="M148" i="10"/>
  <c r="R148" i="10"/>
  <c r="W148" i="10"/>
  <c r="D149" i="10"/>
  <c r="D152" i="10"/>
  <c r="D154" i="10" s="1"/>
  <c r="E149" i="10"/>
  <c r="E152" i="10" s="1"/>
  <c r="F149" i="10"/>
  <c r="F152" i="10" s="1"/>
  <c r="F154" i="10" s="1"/>
  <c r="G149" i="10"/>
  <c r="G152" i="10"/>
  <c r="G154" i="10" s="1"/>
  <c r="I149" i="10"/>
  <c r="M149" i="10" s="1"/>
  <c r="J149" i="10"/>
  <c r="J152" i="10"/>
  <c r="J154" i="10" s="1"/>
  <c r="K149" i="10"/>
  <c r="K152" i="10" s="1"/>
  <c r="K154" i="10" s="1"/>
  <c r="L149" i="10"/>
  <c r="L152" i="10"/>
  <c r="L154" i="10"/>
  <c r="N149" i="10"/>
  <c r="N152" i="10"/>
  <c r="N154" i="10" s="1"/>
  <c r="O149" i="10"/>
  <c r="P149" i="10"/>
  <c r="P152" i="10" s="1"/>
  <c r="P154" i="10" s="1"/>
  <c r="Q149" i="10"/>
  <c r="Q152" i="10"/>
  <c r="Q154" i="10" s="1"/>
  <c r="S149" i="10"/>
  <c r="T149" i="10"/>
  <c r="T152" i="10"/>
  <c r="T154" i="10" s="1"/>
  <c r="U149" i="10"/>
  <c r="U152" i="10"/>
  <c r="U154" i="10" s="1"/>
  <c r="V149" i="10"/>
  <c r="V152" i="10" s="1"/>
  <c r="V154" i="10" s="1"/>
  <c r="H150" i="10"/>
  <c r="M150" i="10"/>
  <c r="R150" i="10"/>
  <c r="W150" i="10"/>
  <c r="H151" i="10"/>
  <c r="M151" i="10"/>
  <c r="R151" i="10"/>
  <c r="W151" i="10"/>
  <c r="H153" i="10"/>
  <c r="M153" i="10"/>
  <c r="R153" i="10"/>
  <c r="W153" i="10"/>
  <c r="AL165" i="10"/>
  <c r="W226" i="10"/>
  <c r="AB226" i="10"/>
  <c r="AG226" i="10"/>
  <c r="AL226" i="10"/>
  <c r="AQ226" i="10"/>
  <c r="AV226" i="10"/>
  <c r="H227" i="10"/>
  <c r="M227" i="10"/>
  <c r="R227" i="10"/>
  <c r="M228" i="10"/>
  <c r="R228" i="10"/>
  <c r="I234" i="10"/>
  <c r="J234" i="10"/>
  <c r="K234" i="10"/>
  <c r="P234" i="10"/>
  <c r="AH234" i="10"/>
  <c r="D246" i="10"/>
  <c r="E246" i="10"/>
  <c r="F246" i="10"/>
  <c r="G246" i="10"/>
  <c r="I246" i="10"/>
  <c r="J246" i="10"/>
  <c r="K246" i="10"/>
  <c r="L246" i="10"/>
  <c r="N246" i="10"/>
  <c r="O246" i="10"/>
  <c r="P246" i="10"/>
  <c r="Q246" i="10"/>
  <c r="S246" i="10"/>
  <c r="T246" i="10"/>
  <c r="U246" i="10"/>
  <c r="K6" i="11"/>
  <c r="K7" i="11"/>
  <c r="K8" i="11"/>
  <c r="K9" i="11"/>
  <c r="K10" i="11" s="1"/>
  <c r="K11" i="11" s="1"/>
  <c r="C10" i="11"/>
  <c r="C11" i="11" s="1"/>
  <c r="D10" i="11"/>
  <c r="D11" i="11" s="1"/>
  <c r="E10" i="11"/>
  <c r="E11" i="11"/>
  <c r="F10" i="11"/>
  <c r="F11" i="11"/>
  <c r="G10" i="11"/>
  <c r="G11" i="11"/>
  <c r="H10" i="11"/>
  <c r="H11" i="11"/>
  <c r="I10" i="11"/>
  <c r="I11" i="11" s="1"/>
  <c r="J10" i="11"/>
  <c r="J11" i="11"/>
  <c r="K13" i="11"/>
  <c r="K14" i="11"/>
  <c r="C15" i="11"/>
  <c r="D15" i="11"/>
  <c r="E15" i="11"/>
  <c r="F15" i="11"/>
  <c r="G15" i="11"/>
  <c r="H15" i="11"/>
  <c r="I15" i="11"/>
  <c r="J15" i="11"/>
  <c r="K20" i="11"/>
  <c r="K21" i="11"/>
  <c r="K22" i="11"/>
  <c r="K23" i="11"/>
  <c r="C24" i="11"/>
  <c r="D24" i="11"/>
  <c r="E24" i="11"/>
  <c r="F24" i="11"/>
  <c r="G24" i="11"/>
  <c r="H24" i="11"/>
  <c r="I24" i="11"/>
  <c r="J24" i="11"/>
  <c r="K27" i="11"/>
  <c r="K28" i="11"/>
  <c r="C29" i="11"/>
  <c r="D29" i="11"/>
  <c r="E29" i="11"/>
  <c r="F29" i="11"/>
  <c r="G29" i="11"/>
  <c r="H29" i="11"/>
  <c r="I29" i="11"/>
  <c r="J29" i="11"/>
  <c r="K34" i="11"/>
  <c r="K38" i="11" s="1"/>
  <c r="K35" i="11"/>
  <c r="K36" i="11"/>
  <c r="K37" i="11"/>
  <c r="C38" i="11"/>
  <c r="D38" i="11"/>
  <c r="E38" i="11"/>
  <c r="F38" i="11"/>
  <c r="G38" i="11"/>
  <c r="H38" i="11"/>
  <c r="I38" i="11"/>
  <c r="J38" i="11"/>
  <c r="K41" i="11"/>
  <c r="K42" i="11"/>
  <c r="C43" i="11"/>
  <c r="K43" i="11" s="1"/>
  <c r="D43" i="11"/>
  <c r="E43" i="11"/>
  <c r="F43" i="11"/>
  <c r="G43" i="11"/>
  <c r="H43" i="11"/>
  <c r="I43" i="11"/>
  <c r="J43" i="11"/>
  <c r="K48" i="11"/>
  <c r="K52" i="11" s="1"/>
  <c r="K49" i="11"/>
  <c r="K50" i="11"/>
  <c r="K51" i="11"/>
  <c r="C52" i="11"/>
  <c r="D52" i="11"/>
  <c r="E52" i="11"/>
  <c r="E53" i="11" s="1"/>
  <c r="F52" i="11"/>
  <c r="G52" i="11"/>
  <c r="H52" i="11"/>
  <c r="I52" i="11"/>
  <c r="J52" i="11"/>
  <c r="K55" i="11"/>
  <c r="K56" i="11"/>
  <c r="C57" i="11"/>
  <c r="D57" i="11"/>
  <c r="E57" i="11"/>
  <c r="F57" i="11"/>
  <c r="G57" i="11"/>
  <c r="H57" i="11"/>
  <c r="I57" i="11"/>
  <c r="J57" i="11"/>
  <c r="K63" i="11"/>
  <c r="K67" i="11" s="1"/>
  <c r="K64" i="11"/>
  <c r="K65" i="11"/>
  <c r="K66" i="11"/>
  <c r="C67" i="11"/>
  <c r="D67" i="11"/>
  <c r="E67" i="11"/>
  <c r="F67" i="11"/>
  <c r="G67" i="11"/>
  <c r="H67" i="11"/>
  <c r="I67" i="11"/>
  <c r="J67" i="11"/>
  <c r="K70" i="11"/>
  <c r="K71" i="11"/>
  <c r="C72" i="11"/>
  <c r="K72" i="11" s="1"/>
  <c r="D72" i="11"/>
  <c r="E72" i="11"/>
  <c r="F72" i="11"/>
  <c r="G72" i="11"/>
  <c r="H72" i="11"/>
  <c r="I72" i="11"/>
  <c r="J72" i="11"/>
  <c r="K78" i="11"/>
  <c r="K79" i="11"/>
  <c r="K82" i="11"/>
  <c r="K80" i="11"/>
  <c r="K81" i="11"/>
  <c r="C82" i="11"/>
  <c r="C83" i="11"/>
  <c r="D82" i="11"/>
  <c r="D83" i="11" s="1"/>
  <c r="E82" i="11"/>
  <c r="E83" i="11" s="1"/>
  <c r="F82" i="11"/>
  <c r="F83" i="11"/>
  <c r="G82" i="11"/>
  <c r="G83" i="11"/>
  <c r="H82" i="11"/>
  <c r="H83" i="11"/>
  <c r="I82" i="11"/>
  <c r="I83" i="11"/>
  <c r="J82" i="11"/>
  <c r="J83" i="11" s="1"/>
  <c r="K85" i="11"/>
  <c r="K86" i="11"/>
  <c r="C87" i="11"/>
  <c r="K87" i="11" s="1"/>
  <c r="D87" i="11"/>
  <c r="E87" i="11"/>
  <c r="F87" i="11"/>
  <c r="G87" i="11"/>
  <c r="H87" i="11"/>
  <c r="I87" i="11"/>
  <c r="J87" i="11"/>
  <c r="K92" i="11"/>
  <c r="K93" i="11"/>
  <c r="K94" i="11"/>
  <c r="K95" i="11"/>
  <c r="C96" i="11"/>
  <c r="D96" i="11"/>
  <c r="E96" i="11"/>
  <c r="F96" i="11"/>
  <c r="G96" i="11"/>
  <c r="H96" i="11"/>
  <c r="I96" i="11"/>
  <c r="J96" i="11"/>
  <c r="K99" i="11"/>
  <c r="K100" i="11"/>
  <c r="C101" i="11"/>
  <c r="K101" i="11" s="1"/>
  <c r="D101" i="11"/>
  <c r="E101" i="11"/>
  <c r="F101" i="11"/>
  <c r="G101" i="11"/>
  <c r="H101" i="11"/>
  <c r="I101" i="11"/>
  <c r="J101" i="11"/>
  <c r="K106" i="11"/>
  <c r="K107" i="11"/>
  <c r="K108" i="11"/>
  <c r="K109" i="11"/>
  <c r="C110" i="11"/>
  <c r="D110" i="11"/>
  <c r="E110" i="11"/>
  <c r="F110" i="11"/>
  <c r="G110" i="11"/>
  <c r="H110" i="11"/>
  <c r="I110" i="11"/>
  <c r="J110" i="11"/>
  <c r="K113" i="11"/>
  <c r="K114" i="11"/>
  <c r="C115" i="11"/>
  <c r="D115" i="11"/>
  <c r="E115" i="11"/>
  <c r="K115" i="11" s="1"/>
  <c r="F115" i="11"/>
  <c r="G115" i="11"/>
  <c r="H115" i="11"/>
  <c r="I115" i="11"/>
  <c r="J115" i="11"/>
  <c r="K121" i="11"/>
  <c r="K122" i="11"/>
  <c r="K123" i="11"/>
  <c r="K124" i="11"/>
  <c r="C125" i="11"/>
  <c r="D125" i="11"/>
  <c r="E125" i="11"/>
  <c r="F125" i="11"/>
  <c r="G125" i="11"/>
  <c r="H125" i="11"/>
  <c r="I125" i="11"/>
  <c r="J125" i="11"/>
  <c r="K128" i="11"/>
  <c r="K129" i="11"/>
  <c r="C130" i="11"/>
  <c r="D130" i="11"/>
  <c r="E130" i="11"/>
  <c r="F130" i="11"/>
  <c r="G130" i="11"/>
  <c r="H130" i="11"/>
  <c r="I130" i="11"/>
  <c r="J130" i="11"/>
  <c r="K136" i="11"/>
  <c r="K137" i="11"/>
  <c r="K138" i="11"/>
  <c r="K139" i="11"/>
  <c r="C140" i="11"/>
  <c r="D140" i="11"/>
  <c r="E140" i="11"/>
  <c r="F140" i="11"/>
  <c r="G140" i="11"/>
  <c r="H140" i="11"/>
  <c r="I140" i="11"/>
  <c r="J140" i="11"/>
  <c r="K143" i="11"/>
  <c r="K144" i="11"/>
  <c r="C145" i="11"/>
  <c r="D145" i="11"/>
  <c r="E145" i="11"/>
  <c r="F145" i="11"/>
  <c r="G145" i="11"/>
  <c r="H145" i="11"/>
  <c r="I145" i="11"/>
  <c r="K145" i="11" s="1"/>
  <c r="J145" i="11"/>
  <c r="K151" i="11"/>
  <c r="K155" i="11" s="1"/>
  <c r="K152" i="11"/>
  <c r="K153" i="11"/>
  <c r="K154" i="11"/>
  <c r="C155" i="11"/>
  <c r="D155" i="11"/>
  <c r="E155" i="11"/>
  <c r="F155" i="11"/>
  <c r="G155" i="11"/>
  <c r="H155" i="11"/>
  <c r="I155" i="11"/>
  <c r="J155" i="11"/>
  <c r="K158" i="11"/>
  <c r="K159" i="11"/>
  <c r="C160" i="11"/>
  <c r="D160" i="11"/>
  <c r="E160" i="11"/>
  <c r="F160" i="11"/>
  <c r="G160" i="11"/>
  <c r="H160" i="11"/>
  <c r="I160" i="11"/>
  <c r="J160" i="11"/>
  <c r="K166" i="11"/>
  <c r="K170" i="11" s="1"/>
  <c r="K167" i="11"/>
  <c r="K168" i="11"/>
  <c r="K169" i="11"/>
  <c r="C170" i="11"/>
  <c r="D170" i="11"/>
  <c r="E170" i="11"/>
  <c r="F170" i="11"/>
  <c r="G170" i="11"/>
  <c r="H170" i="11"/>
  <c r="I170" i="11"/>
  <c r="J170" i="11"/>
  <c r="K173" i="11"/>
  <c r="K174" i="11"/>
  <c r="C175" i="11"/>
  <c r="D175" i="11"/>
  <c r="E175" i="11"/>
  <c r="F175" i="11"/>
  <c r="G175" i="11"/>
  <c r="H175" i="11"/>
  <c r="I175" i="11"/>
  <c r="J175" i="11"/>
  <c r="K226" i="11"/>
  <c r="K230" i="11" s="1"/>
  <c r="K227" i="11"/>
  <c r="K228" i="11"/>
  <c r="K229" i="11"/>
  <c r="C230" i="11"/>
  <c r="D230" i="11"/>
  <c r="E230" i="11"/>
  <c r="F230" i="11"/>
  <c r="G230" i="11"/>
  <c r="H230" i="11"/>
  <c r="I230" i="11"/>
  <c r="J230" i="11"/>
  <c r="K233" i="11"/>
  <c r="K234" i="11"/>
  <c r="C235" i="11"/>
  <c r="D235" i="11"/>
  <c r="E235" i="11"/>
  <c r="F235" i="11"/>
  <c r="G235" i="11"/>
  <c r="H235" i="11"/>
  <c r="I235" i="11"/>
  <c r="J235" i="11"/>
  <c r="K241" i="11"/>
  <c r="K242" i="11"/>
  <c r="K245" i="11" s="1"/>
  <c r="K243" i="11"/>
  <c r="K244" i="11"/>
  <c r="C245" i="11"/>
  <c r="D245" i="11"/>
  <c r="E245" i="11"/>
  <c r="F245" i="11"/>
  <c r="G245" i="11"/>
  <c r="H245" i="11"/>
  <c r="I245" i="11"/>
  <c r="J245" i="11"/>
  <c r="K248" i="11"/>
  <c r="K250" i="11" s="1"/>
  <c r="K249" i="11"/>
  <c r="C250" i="11"/>
  <c r="D250" i="11"/>
  <c r="E250" i="11"/>
  <c r="F250" i="11"/>
  <c r="G250" i="11"/>
  <c r="H250" i="11"/>
  <c r="I250" i="11"/>
  <c r="J250" i="11"/>
  <c r="K256" i="11"/>
  <c r="K257" i="11"/>
  <c r="K258" i="11"/>
  <c r="K259" i="11"/>
  <c r="C260" i="11"/>
  <c r="D260" i="11"/>
  <c r="E260" i="11"/>
  <c r="F260" i="11"/>
  <c r="G260" i="11"/>
  <c r="H260" i="11"/>
  <c r="I260" i="11"/>
  <c r="J260" i="11"/>
  <c r="K263" i="11"/>
  <c r="K264" i="11"/>
  <c r="C265" i="11"/>
  <c r="D265" i="11"/>
  <c r="E265" i="11"/>
  <c r="F265" i="11"/>
  <c r="G265" i="11"/>
  <c r="H265" i="11"/>
  <c r="I265" i="11"/>
  <c r="J265" i="11"/>
  <c r="K272" i="11"/>
  <c r="K273" i="11"/>
  <c r="K274" i="11"/>
  <c r="K275" i="11"/>
  <c r="C276" i="11"/>
  <c r="D276" i="11"/>
  <c r="E276" i="11"/>
  <c r="F276" i="11"/>
  <c r="G276" i="11"/>
  <c r="H276" i="11"/>
  <c r="I276" i="11"/>
  <c r="J276" i="11"/>
  <c r="K279" i="11"/>
  <c r="K281" i="11" s="1"/>
  <c r="K280" i="11"/>
  <c r="C281" i="11"/>
  <c r="D281" i="11"/>
  <c r="E281" i="11"/>
  <c r="F281" i="11"/>
  <c r="G281" i="11"/>
  <c r="H281" i="11"/>
  <c r="I281" i="11"/>
  <c r="J281" i="11"/>
  <c r="K287" i="11"/>
  <c r="K288" i="11"/>
  <c r="K289" i="11"/>
  <c r="K290" i="11"/>
  <c r="C291" i="11"/>
  <c r="D291" i="11"/>
  <c r="E291" i="11"/>
  <c r="F291" i="11"/>
  <c r="G291" i="11"/>
  <c r="H291" i="11"/>
  <c r="I291" i="11"/>
  <c r="J291" i="11"/>
  <c r="K294" i="11"/>
  <c r="K296" i="11" s="1"/>
  <c r="K295" i="11"/>
  <c r="C296" i="11"/>
  <c r="D296" i="11"/>
  <c r="E296" i="11"/>
  <c r="F296" i="11"/>
  <c r="G296" i="11"/>
  <c r="H296" i="11"/>
  <c r="I296" i="11"/>
  <c r="J296" i="11"/>
  <c r="C365" i="11"/>
  <c r="D365" i="11"/>
  <c r="E365" i="11"/>
  <c r="F365" i="11"/>
  <c r="G365" i="11"/>
  <c r="H365" i="11"/>
  <c r="I365" i="11"/>
  <c r="J365" i="11"/>
  <c r="K365" i="11"/>
  <c r="K369" i="11"/>
  <c r="K371" i="11" s="1"/>
  <c r="K376" i="11" s="1"/>
  <c r="K370" i="11"/>
  <c r="K378" i="11"/>
  <c r="C371" i="11"/>
  <c r="C376" i="11" s="1"/>
  <c r="D371" i="11"/>
  <c r="E371" i="11"/>
  <c r="F371" i="11"/>
  <c r="G371" i="11"/>
  <c r="H371" i="11"/>
  <c r="H376" i="11" s="1"/>
  <c r="I371" i="11"/>
  <c r="I376" i="11"/>
  <c r="J371" i="11"/>
  <c r="J376" i="11" s="1"/>
  <c r="C375" i="11"/>
  <c r="D375" i="11"/>
  <c r="E375" i="11"/>
  <c r="E376" i="11" s="1"/>
  <c r="F375" i="11"/>
  <c r="G375" i="11"/>
  <c r="G376" i="11" s="1"/>
  <c r="H375" i="11"/>
  <c r="I375" i="11"/>
  <c r="J375" i="11"/>
  <c r="K375" i="11"/>
  <c r="C377" i="11"/>
  <c r="D377" i="11"/>
  <c r="E377" i="11"/>
  <c r="F377" i="11"/>
  <c r="G377" i="11"/>
  <c r="H377" i="11"/>
  <c r="I377" i="11"/>
  <c r="J377" i="11"/>
  <c r="C378" i="11"/>
  <c r="D378" i="11"/>
  <c r="E378" i="11"/>
  <c r="F378" i="11"/>
  <c r="G378" i="11"/>
  <c r="H378" i="11"/>
  <c r="I378" i="11"/>
  <c r="J378" i="11"/>
  <c r="K381" i="11"/>
  <c r="K383" i="11" s="1"/>
  <c r="K382" i="11"/>
  <c r="C383" i="11"/>
  <c r="D383" i="11"/>
  <c r="E383" i="11"/>
  <c r="F383" i="11"/>
  <c r="G383" i="11"/>
  <c r="H383" i="11"/>
  <c r="I383" i="11"/>
  <c r="J383" i="11"/>
  <c r="K420" i="11"/>
  <c r="K421" i="11"/>
  <c r="K422" i="11"/>
  <c r="K423" i="11"/>
  <c r="C424" i="11"/>
  <c r="D424" i="11"/>
  <c r="E424" i="11"/>
  <c r="F424" i="11"/>
  <c r="G424" i="11"/>
  <c r="H424" i="11"/>
  <c r="I424" i="11"/>
  <c r="J424" i="11"/>
  <c r="K428" i="11"/>
  <c r="K429" i="11"/>
  <c r="K437" i="11" s="1"/>
  <c r="C430" i="11"/>
  <c r="C435" i="11" s="1"/>
  <c r="D430" i="11"/>
  <c r="D435" i="11" s="1"/>
  <c r="E430" i="11"/>
  <c r="F430" i="11"/>
  <c r="G430" i="11"/>
  <c r="H430" i="11"/>
  <c r="I430" i="11"/>
  <c r="J430" i="11"/>
  <c r="K432" i="11"/>
  <c r="K433" i="11"/>
  <c r="C434" i="11"/>
  <c r="D434" i="11"/>
  <c r="E434" i="11"/>
  <c r="E435" i="11"/>
  <c r="F434" i="11"/>
  <c r="F435" i="11" s="1"/>
  <c r="G434" i="11"/>
  <c r="H434" i="11"/>
  <c r="I434" i="11"/>
  <c r="J434" i="11"/>
  <c r="C436" i="11"/>
  <c r="D436" i="11"/>
  <c r="E436" i="11"/>
  <c r="F436" i="11"/>
  <c r="G436" i="11"/>
  <c r="H436" i="11"/>
  <c r="I436" i="11"/>
  <c r="J436" i="11"/>
  <c r="C437" i="11"/>
  <c r="D437" i="11"/>
  <c r="E437" i="11"/>
  <c r="F437" i="11"/>
  <c r="G437" i="11"/>
  <c r="H437" i="11"/>
  <c r="I437" i="11"/>
  <c r="J437" i="11"/>
  <c r="K440" i="11"/>
  <c r="K442" i="11" s="1"/>
  <c r="K441" i="11"/>
  <c r="C442" i="11"/>
  <c r="D442" i="11"/>
  <c r="E442" i="11"/>
  <c r="F442" i="11"/>
  <c r="G442" i="11"/>
  <c r="H442" i="11"/>
  <c r="I442" i="11"/>
  <c r="J442" i="11"/>
  <c r="AU33" i="5"/>
  <c r="AY48" i="7"/>
  <c r="AY54" i="7" s="1"/>
  <c r="AY66" i="7" s="1"/>
  <c r="I435" i="11"/>
  <c r="AV46" i="7"/>
  <c r="BA30" i="8"/>
  <c r="BA32" i="8" s="1"/>
  <c r="BA77" i="8" s="1"/>
  <c r="E66" i="5"/>
  <c r="AZ48" i="7"/>
  <c r="G78" i="8"/>
  <c r="BD58" i="9"/>
  <c r="BE58" i="9" s="1"/>
  <c r="H35" i="9"/>
  <c r="BD49" i="5"/>
  <c r="K377" i="11"/>
  <c r="AR38" i="9"/>
  <c r="AS38" i="9" s="1"/>
  <c r="AT38" i="9" s="1"/>
  <c r="AU38" i="9" s="1"/>
  <c r="BC45" i="9"/>
  <c r="BD45" i="9" s="1"/>
  <c r="BE45" i="9" s="1"/>
  <c r="Z32" i="7"/>
  <c r="J36" i="8"/>
  <c r="K36" i="8" s="1"/>
  <c r="C30" i="8"/>
  <c r="C32" i="8" s="1"/>
  <c r="O42" i="8"/>
  <c r="Q42" i="8" s="1"/>
  <c r="O11" i="8"/>
  <c r="Q11" i="8" s="1"/>
  <c r="BC35" i="8"/>
  <c r="BD35" i="8" s="1"/>
  <c r="U35" i="8"/>
  <c r="V35" i="8"/>
  <c r="AN19" i="8"/>
  <c r="J13" i="8"/>
  <c r="K13" i="8" s="1"/>
  <c r="L13" i="8" s="1"/>
  <c r="BC28" i="8"/>
  <c r="BD28" i="8" s="1"/>
  <c r="AX53" i="8"/>
  <c r="AY53" i="8" s="1"/>
  <c r="AZ53" i="8" s="1"/>
  <c r="AL62" i="8"/>
  <c r="E25" i="8"/>
  <c r="F25" i="8"/>
  <c r="G25" i="8" s="1"/>
  <c r="BE66" i="5"/>
  <c r="AP18" i="7"/>
  <c r="AP32" i="7" s="1"/>
  <c r="AQ32" i="7" s="1"/>
  <c r="AQ18" i="7"/>
  <c r="N66" i="7"/>
  <c r="AZ65" i="7"/>
  <c r="BA65" i="7" s="1"/>
  <c r="M66" i="5"/>
  <c r="AU17" i="5"/>
  <c r="G66" i="5"/>
  <c r="O34" i="5"/>
  <c r="R66" i="5"/>
  <c r="AU64" i="5"/>
  <c r="H435" i="11"/>
  <c r="AN67" i="5"/>
  <c r="K83" i="11"/>
  <c r="AN47" i="9"/>
  <c r="AO47" i="9" s="1"/>
  <c r="AP47" i="9" s="1"/>
  <c r="AR34" i="5"/>
  <c r="J43" i="8"/>
  <c r="K43" i="8" s="1"/>
  <c r="L43" i="8" s="1"/>
  <c r="BE64" i="5"/>
  <c r="M15" i="2"/>
  <c r="M19" i="2"/>
  <c r="U15" i="6"/>
  <c r="AX15" i="6"/>
  <c r="AX30" i="6" s="1"/>
  <c r="AX33" i="6" s="1"/>
  <c r="AQ15" i="6"/>
  <c r="AQ19" i="6" s="1"/>
  <c r="BB15" i="6"/>
  <c r="BB30" i="6"/>
  <c r="BB33" i="6" s="1"/>
  <c r="BB37" i="6" s="1"/>
  <c r="AJ15" i="6"/>
  <c r="AJ30" i="6" s="1"/>
  <c r="AJ33" i="6" s="1"/>
  <c r="AJ37" i="6" s="1"/>
  <c r="AJ40" i="6" s="1"/>
  <c r="AF13" i="2"/>
  <c r="AF15" i="2" s="1"/>
  <c r="K49" i="8"/>
  <c r="AA35" i="8"/>
  <c r="Z66" i="8"/>
  <c r="AA66" i="8"/>
  <c r="AJ65" i="8"/>
  <c r="AK65" i="8" s="1"/>
  <c r="BH31" i="8"/>
  <c r="BI31" i="8"/>
  <c r="BH17" i="8"/>
  <c r="BI17" i="8"/>
  <c r="BJ17" i="8"/>
  <c r="AY23" i="8"/>
  <c r="AZ23" i="8" s="1"/>
  <c r="O39" i="8"/>
  <c r="Q39" i="8" s="1"/>
  <c r="BC41" i="8"/>
  <c r="BD41" i="8"/>
  <c r="BE41" i="8" s="1"/>
  <c r="D23" i="8"/>
  <c r="U53" i="8"/>
  <c r="O52" i="8"/>
  <c r="Q52" i="8" s="1"/>
  <c r="E14" i="8"/>
  <c r="F14" i="8" s="1"/>
  <c r="G14" i="8" s="1"/>
  <c r="BD65" i="8"/>
  <c r="BH54" i="8"/>
  <c r="BD49" i="8"/>
  <c r="AX46" i="9"/>
  <c r="AY46" i="9" s="1"/>
  <c r="AZ46" i="9" s="1"/>
  <c r="AX61" i="9"/>
  <c r="AY61" i="9" s="1"/>
  <c r="AN26" i="9"/>
  <c r="AN43" i="9"/>
  <c r="AO43" i="9" s="1"/>
  <c r="AP43" i="9" s="1"/>
  <c r="AX23" i="9"/>
  <c r="AY23" i="9" s="1"/>
  <c r="AZ23" i="9" s="1"/>
  <c r="AI78" i="9"/>
  <c r="AJ78" i="9" s="1"/>
  <c r="K20" i="9"/>
  <c r="L20" i="9" s="1"/>
  <c r="AI51" i="9"/>
  <c r="AJ51" i="9" s="1"/>
  <c r="AI68" i="9"/>
  <c r="AJ68" i="9" s="1"/>
  <c r="Y45" i="9"/>
  <c r="Z45" i="9" s="1"/>
  <c r="AX20" i="9"/>
  <c r="AS10" i="9"/>
  <c r="AT10" i="9" s="1"/>
  <c r="AU10" i="9" s="1"/>
  <c r="K31" i="9"/>
  <c r="L31" i="9" s="1"/>
  <c r="Q45" i="9"/>
  <c r="AS12" i="9"/>
  <c r="AT12" i="9" s="1"/>
  <c r="BD21" i="9"/>
  <c r="BE21" i="9" s="1"/>
  <c r="BD62" i="9"/>
  <c r="BE62" i="9" s="1"/>
  <c r="K235" i="11"/>
  <c r="J12" i="9"/>
  <c r="K12" i="9"/>
  <c r="AP39" i="8"/>
  <c r="AK25" i="9"/>
  <c r="K436" i="11"/>
  <c r="K265" i="11"/>
  <c r="K96" i="11"/>
  <c r="K276" i="11"/>
  <c r="K424" i="11"/>
  <c r="U31" i="8"/>
  <c r="V31" i="8" s="1"/>
  <c r="D376" i="11"/>
  <c r="K160" i="11"/>
  <c r="K125" i="11"/>
  <c r="K15" i="11"/>
  <c r="H66" i="5"/>
  <c r="H67" i="5"/>
  <c r="AU19" i="5"/>
  <c r="K140" i="11"/>
  <c r="K130" i="11"/>
  <c r="AF24" i="8"/>
  <c r="BI18" i="7"/>
  <c r="BI32" i="7" s="1"/>
  <c r="V9" i="2"/>
  <c r="BH66" i="5"/>
  <c r="BJ25" i="9"/>
  <c r="BH7" i="8"/>
  <c r="BI7" i="8" s="1"/>
  <c r="BJ7" i="8" s="1"/>
  <c r="BB15" i="2"/>
  <c r="BB22" i="2" s="1"/>
  <c r="BB30" i="2" s="1"/>
  <c r="BB33" i="2" s="1"/>
  <c r="BB36" i="2" s="1"/>
  <c r="BG15" i="2"/>
  <c r="AZ9" i="2"/>
  <c r="AR15" i="2"/>
  <c r="AR22" i="2" s="1"/>
  <c r="AR30" i="2" s="1"/>
  <c r="AR33" i="2" s="1"/>
  <c r="AR36" i="2" s="1"/>
  <c r="N15" i="2"/>
  <c r="BH17" i="2"/>
  <c r="BH20" i="2" s="1"/>
  <c r="BH33" i="2"/>
  <c r="BH36" i="2"/>
  <c r="BH39" i="2" s="1"/>
  <c r="AU9" i="6"/>
  <c r="BB19" i="6"/>
  <c r="L13" i="6"/>
  <c r="BJ13" i="6"/>
  <c r="AX37" i="6"/>
  <c r="AX40" i="6" s="1"/>
  <c r="AT15" i="6"/>
  <c r="AT30" i="6" s="1"/>
  <c r="AT33" i="6" s="1"/>
  <c r="AT37" i="6" s="1"/>
  <c r="AE15" i="6"/>
  <c r="P15" i="6"/>
  <c r="P19" i="6" s="1"/>
  <c r="AF9" i="6"/>
  <c r="AF15" i="6" s="1"/>
  <c r="AF30" i="6" s="1"/>
  <c r="AF33" i="6" s="1"/>
  <c r="AF37" i="6" s="1"/>
  <c r="Q9" i="6"/>
  <c r="AJ19" i="6"/>
  <c r="N15" i="6"/>
  <c r="N19" i="6" s="1"/>
  <c r="AB15" i="6"/>
  <c r="AB30" i="6"/>
  <c r="AB33" i="6" s="1"/>
  <c r="AB37" i="6" s="1"/>
  <c r="AO15" i="6"/>
  <c r="AO30" i="6" s="1"/>
  <c r="AO33" i="6" s="1"/>
  <c r="AO37" i="6" s="1"/>
  <c r="AQ30" i="6"/>
  <c r="AQ33" i="6" s="1"/>
  <c r="AQ37" i="6" s="1"/>
  <c r="AQ40" i="6" s="1"/>
  <c r="BE9" i="6"/>
  <c r="AD15" i="6"/>
  <c r="C15" i="6"/>
  <c r="C30" i="6" s="1"/>
  <c r="C33" i="6" s="1"/>
  <c r="C37" i="6" s="1"/>
  <c r="AR15" i="6"/>
  <c r="AR30" i="6" s="1"/>
  <c r="G13" i="2"/>
  <c r="AQ15" i="2"/>
  <c r="AQ19" i="2"/>
  <c r="AY15" i="2"/>
  <c r="AY22" i="2" s="1"/>
  <c r="AY30" i="2" s="1"/>
  <c r="AY33" i="2" s="1"/>
  <c r="AY36" i="2" s="1"/>
  <c r="AQ22" i="2"/>
  <c r="AQ30" i="2" s="1"/>
  <c r="AQ33" i="2" s="1"/>
  <c r="AQ36" i="2" s="1"/>
  <c r="AH19" i="2"/>
  <c r="AH22" i="2"/>
  <c r="AH30" i="2" s="1"/>
  <c r="AH33" i="2" s="1"/>
  <c r="AH36" i="2" s="1"/>
  <c r="AH40" i="2" s="1"/>
  <c r="BH19" i="2"/>
  <c r="AA13" i="2"/>
  <c r="AA15" i="2" s="1"/>
  <c r="L9" i="2"/>
  <c r="L15" i="2" s="1"/>
  <c r="L22" i="2" s="1"/>
  <c r="BJ9" i="2"/>
  <c r="AB250" i="10"/>
  <c r="W250" i="10"/>
  <c r="M250" i="10"/>
  <c r="W70" i="10"/>
  <c r="K109" i="10"/>
  <c r="N109" i="10"/>
  <c r="P70" i="10"/>
  <c r="R109" i="10"/>
  <c r="AV250" i="10"/>
  <c r="Q109" i="10"/>
  <c r="D109" i="10"/>
  <c r="M70" i="10"/>
  <c r="U70" i="10"/>
  <c r="BA250" i="10"/>
  <c r="T70" i="10"/>
  <c r="E70" i="10"/>
  <c r="Q70" i="10"/>
  <c r="H250" i="10"/>
  <c r="O109" i="10"/>
  <c r="F70" i="10"/>
  <c r="AQ250" i="10"/>
  <c r="K24" i="11"/>
  <c r="V16" i="9"/>
  <c r="K434" i="11"/>
  <c r="AY13" i="8"/>
  <c r="AZ13" i="8" s="1"/>
  <c r="AO19" i="8"/>
  <c r="AP19" i="8" s="1"/>
  <c r="K430" i="11"/>
  <c r="K435" i="11" s="1"/>
  <c r="K291" i="11"/>
  <c r="J435" i="11"/>
  <c r="O53" i="8"/>
  <c r="Q53" i="8" s="1"/>
  <c r="BH72" i="8"/>
  <c r="BI72" i="8" s="1"/>
  <c r="G435" i="11"/>
  <c r="L70" i="10"/>
  <c r="H149" i="10"/>
  <c r="AI61" i="9"/>
  <c r="AJ61" i="9" s="1"/>
  <c r="H70" i="10"/>
  <c r="G70" i="10"/>
  <c r="F376" i="11"/>
  <c r="AG34" i="5"/>
  <c r="U15" i="2"/>
  <c r="U22" i="2" s="1"/>
  <c r="U30" i="2" s="1"/>
  <c r="U33" i="2" s="1"/>
  <c r="U36" i="2" s="1"/>
  <c r="U19" i="2"/>
  <c r="AS15" i="2"/>
  <c r="AS22" i="2" s="1"/>
  <c r="AS30" i="2" s="1"/>
  <c r="AS33" i="2" s="1"/>
  <c r="AS36" i="2" s="1"/>
  <c r="F34" i="5"/>
  <c r="AB19" i="6"/>
  <c r="N30" i="6"/>
  <c r="N33" i="6" s="1"/>
  <c r="AY19" i="2"/>
  <c r="Q47" i="9"/>
  <c r="AA10" i="8"/>
  <c r="AR72" i="8"/>
  <c r="Q9" i="8"/>
  <c r="AF51" i="8"/>
  <c r="AJ22" i="2"/>
  <c r="AJ30" i="2" s="1"/>
  <c r="AJ33" i="2" s="1"/>
  <c r="AJ36" i="2" s="1"/>
  <c r="AJ40" i="2" s="1"/>
  <c r="Z19" i="2"/>
  <c r="Z22" i="2"/>
  <c r="Z30" i="2" s="1"/>
  <c r="Z33" i="2" s="1"/>
  <c r="Z36" i="2" s="1"/>
  <c r="P22" i="2"/>
  <c r="P30" i="2" s="1"/>
  <c r="P33" i="2" s="1"/>
  <c r="P36" i="2" s="1"/>
  <c r="P19" i="2"/>
  <c r="AV15" i="2"/>
  <c r="AN15" i="2"/>
  <c r="T15" i="2"/>
  <c r="T22" i="2" s="1"/>
  <c r="T30" i="2" s="1"/>
  <c r="T33" i="2" s="1"/>
  <c r="T36" i="2" s="1"/>
  <c r="AK9" i="2"/>
  <c r="AK15" i="2" s="1"/>
  <c r="BC15" i="2"/>
  <c r="Y15" i="2"/>
  <c r="Y22" i="2" s="1"/>
  <c r="Y30" i="2" s="1"/>
  <c r="Y33" i="2" s="1"/>
  <c r="Y36" i="2" s="1"/>
  <c r="AA9" i="2"/>
  <c r="BE13" i="2"/>
  <c r="M22" i="2"/>
  <c r="M30" i="2" s="1"/>
  <c r="D15" i="2"/>
  <c r="C15" i="2"/>
  <c r="Q9" i="2"/>
  <c r="AU13" i="2"/>
  <c r="BH67" i="5"/>
  <c r="AQ34" i="5"/>
  <c r="AY66" i="5"/>
  <c r="AZ66" i="5" s="1"/>
  <c r="AK64" i="5"/>
  <c r="F67" i="5"/>
  <c r="E67" i="5"/>
  <c r="AT49" i="5"/>
  <c r="AU49" i="5" s="1"/>
  <c r="AW67" i="5"/>
  <c r="AY55" i="8"/>
  <c r="AZ55" i="8" s="1"/>
  <c r="AS11" i="8"/>
  <c r="AT11" i="8" s="1"/>
  <c r="Q28" i="8"/>
  <c r="AY50" i="8"/>
  <c r="AZ50" i="8" s="1"/>
  <c r="Q35" i="8"/>
  <c r="AU21" i="8"/>
  <c r="AU49" i="8"/>
  <c r="V53" i="8"/>
  <c r="BE70" i="8"/>
  <c r="AP60" i="8"/>
  <c r="BD31" i="8"/>
  <c r="BE31" i="8" s="1"/>
  <c r="T79" i="8"/>
  <c r="U78" i="8" s="1"/>
  <c r="AA52" i="8"/>
  <c r="AP10" i="8"/>
  <c r="AT65" i="8"/>
  <c r="E39" i="8"/>
  <c r="F39" i="8" s="1"/>
  <c r="AU19" i="8"/>
  <c r="AI19" i="8"/>
  <c r="AJ19" i="8" s="1"/>
  <c r="AK28" i="8"/>
  <c r="O26" i="8"/>
  <c r="Q26" i="8"/>
  <c r="U11" i="8"/>
  <c r="V11" i="8" s="1"/>
  <c r="AX9" i="8"/>
  <c r="AY9" i="8" s="1"/>
  <c r="AZ9" i="8" s="1"/>
  <c r="BD17" i="8"/>
  <c r="BE17" i="8" s="1"/>
  <c r="V21" i="8"/>
  <c r="AU50" i="8"/>
  <c r="AU60" i="8"/>
  <c r="T74" i="8"/>
  <c r="BD21" i="8"/>
  <c r="BE21" i="8" s="1"/>
  <c r="AU53" i="8"/>
  <c r="AK51" i="8"/>
  <c r="O17" i="8"/>
  <c r="Q17" i="8" s="1"/>
  <c r="AW30" i="8"/>
  <c r="AW32" i="8" s="1"/>
  <c r="L9" i="6"/>
  <c r="AR33" i="6"/>
  <c r="AR37" i="6" s="1"/>
  <c r="AR40" i="6" s="1"/>
  <c r="AO19" i="6"/>
  <c r="W15" i="6"/>
  <c r="W19" i="6" s="1"/>
  <c r="Z15" i="6"/>
  <c r="BF15" i="6"/>
  <c r="BF19" i="6" s="1"/>
  <c r="BG15" i="6"/>
  <c r="AS15" i="6"/>
  <c r="K15" i="6"/>
  <c r="K19" i="6"/>
  <c r="BD15" i="6"/>
  <c r="BD19" i="6"/>
  <c r="AZ13" i="6"/>
  <c r="BE15" i="6"/>
  <c r="BE19" i="6" s="1"/>
  <c r="AL15" i="6"/>
  <c r="AL19" i="6" s="1"/>
  <c r="BJ15" i="6"/>
  <c r="P30" i="6"/>
  <c r="P33" i="6" s="1"/>
  <c r="P37" i="6" s="1"/>
  <c r="BE13" i="6"/>
  <c r="M66" i="7"/>
  <c r="Y32" i="7"/>
  <c r="O32" i="7"/>
  <c r="BC13" i="9"/>
  <c r="BD13" i="9"/>
  <c r="BE13" i="9" s="1"/>
  <c r="AX10" i="9"/>
  <c r="V40" i="9"/>
  <c r="L12" i="9"/>
  <c r="O76" i="9"/>
  <c r="AY38" i="9"/>
  <c r="BE32" i="7"/>
  <c r="BF32" i="7" s="1"/>
  <c r="BF18" i="7"/>
  <c r="AQ41" i="6"/>
  <c r="AX41" i="6"/>
  <c r="BF30" i="6"/>
  <c r="BF33" i="6" s="1"/>
  <c r="BF37" i="6" s="1"/>
  <c r="BG30" i="6"/>
  <c r="BG33" i="6" s="1"/>
  <c r="BG37" i="6" s="1"/>
  <c r="BG19" i="6"/>
  <c r="AJ41" i="6"/>
  <c r="BB40" i="6"/>
  <c r="BB41" i="6"/>
  <c r="W30" i="6"/>
  <c r="W33" i="6" s="1"/>
  <c r="W37" i="6" s="1"/>
  <c r="BD30" i="6"/>
  <c r="BD33" i="6" s="1"/>
  <c r="BD37" i="6" s="1"/>
  <c r="AX19" i="6"/>
  <c r="AI15" i="6"/>
  <c r="X15" i="6"/>
  <c r="O15" i="6"/>
  <c r="G13" i="6"/>
  <c r="R30" i="6"/>
  <c r="R33" i="6" s="1"/>
  <c r="AN15" i="6"/>
  <c r="AN30" i="6" s="1"/>
  <c r="AN33" i="6" s="1"/>
  <c r="AN37" i="6" s="1"/>
  <c r="AN40" i="6" s="1"/>
  <c r="R19" i="6"/>
  <c r="AC15" i="6"/>
  <c r="T15" i="6"/>
  <c r="J15" i="6"/>
  <c r="BK15" i="6"/>
  <c r="AP9" i="6"/>
  <c r="AP15" i="6" s="1"/>
  <c r="F76" i="8"/>
  <c r="G76" i="8" s="1"/>
  <c r="AT28" i="8"/>
  <c r="AU28" i="8" s="1"/>
  <c r="AO11" i="8"/>
  <c r="AP11" i="8" s="1"/>
  <c r="BI44" i="8"/>
  <c r="BJ44" i="8" s="1"/>
  <c r="J52" i="8"/>
  <c r="K52" i="8"/>
  <c r="L52" i="8" s="1"/>
  <c r="BJ9" i="8"/>
  <c r="AD62" i="8"/>
  <c r="AN42" i="8"/>
  <c r="AO42" i="8"/>
  <c r="AY49" i="8"/>
  <c r="AZ49" i="8" s="1"/>
  <c r="AW62" i="8"/>
  <c r="Q10" i="8"/>
  <c r="BK74" i="8"/>
  <c r="U49" i="8"/>
  <c r="V49" i="8" s="1"/>
  <c r="BH28" i="8"/>
  <c r="BI28" i="8"/>
  <c r="F72" i="8"/>
  <c r="G72" i="8" s="1"/>
  <c r="E48" i="8"/>
  <c r="F48" i="8" s="1"/>
  <c r="G48" i="8" s="1"/>
  <c r="BD60" i="8"/>
  <c r="BE60" i="8"/>
  <c r="F11" i="8"/>
  <c r="G11" i="8" s="1"/>
  <c r="F50" i="8"/>
  <c r="G50" i="8" s="1"/>
  <c r="AU39" i="8"/>
  <c r="AY60" i="8"/>
  <c r="AZ60" i="8" s="1"/>
  <c r="J39" i="8"/>
  <c r="K39" i="8"/>
  <c r="BD48" i="8"/>
  <c r="BE48" i="8" s="1"/>
  <c r="Q76" i="8"/>
  <c r="N30" i="8"/>
  <c r="BH23" i="8"/>
  <c r="BI23" i="8" s="1"/>
  <c r="AP70" i="8"/>
  <c r="BC11" i="8"/>
  <c r="BD11" i="8" s="1"/>
  <c r="BD27" i="8"/>
  <c r="BE27" i="8" s="1"/>
  <c r="V48" i="8"/>
  <c r="J74" i="8"/>
  <c r="AH30" i="8"/>
  <c r="AH32" i="8" s="1"/>
  <c r="AR74" i="8"/>
  <c r="BJ24" i="8"/>
  <c r="AZ54" i="8"/>
  <c r="BJ42" i="8"/>
  <c r="V23" i="8"/>
  <c r="Q14" i="8"/>
  <c r="I79" i="8"/>
  <c r="AA17" i="8"/>
  <c r="BB62" i="8"/>
  <c r="BG62" i="8"/>
  <c r="BJ12" i="8"/>
  <c r="BD66" i="8"/>
  <c r="BE66" i="8" s="1"/>
  <c r="AY27" i="8"/>
  <c r="AZ27" i="8" s="1"/>
  <c r="AP37" i="8"/>
  <c r="I74" i="8"/>
  <c r="AT31" i="8"/>
  <c r="AU31" i="8"/>
  <c r="W67" i="5"/>
  <c r="BD19" i="5"/>
  <c r="AH34" i="5"/>
  <c r="AZ17" i="5"/>
  <c r="BI66" i="5"/>
  <c r="BJ66" i="5"/>
  <c r="AD34" i="5"/>
  <c r="BG34" i="5"/>
  <c r="C67" i="5"/>
  <c r="BI19" i="5"/>
  <c r="BI34" i="5"/>
  <c r="BJ34" i="5" s="1"/>
  <c r="BK66" i="5"/>
  <c r="BK67" i="5" s="1"/>
  <c r="BK49" i="5"/>
  <c r="D22" i="2"/>
  <c r="D30" i="2"/>
  <c r="D33" i="2" s="1"/>
  <c r="D36" i="2" s="1"/>
  <c r="D19" i="2"/>
  <c r="AV22" i="2"/>
  <c r="AV30" i="2" s="1"/>
  <c r="AV33" i="2" s="1"/>
  <c r="AV36" i="2" s="1"/>
  <c r="AV19" i="2"/>
  <c r="AX22" i="2"/>
  <c r="AX30" i="2" s="1"/>
  <c r="AX33" i="2" s="1"/>
  <c r="AX36" i="2" s="1"/>
  <c r="AX19" i="2"/>
  <c r="C19" i="2"/>
  <c r="C22" i="2"/>
  <c r="AT15" i="2"/>
  <c r="AD15" i="2"/>
  <c r="AG15" i="2"/>
  <c r="AS19" i="2"/>
  <c r="K15" i="2"/>
  <c r="K22" i="2" s="1"/>
  <c r="K30" i="2" s="1"/>
  <c r="K33" i="2" s="1"/>
  <c r="K36" i="2" s="1"/>
  <c r="E15" i="2"/>
  <c r="E19" i="2" s="1"/>
  <c r="AZ13" i="2"/>
  <c r="AZ15" i="2"/>
  <c r="O15" i="2"/>
  <c r="AY69" i="9"/>
  <c r="AZ69" i="9" s="1"/>
  <c r="AT62" i="9"/>
  <c r="AU62" i="9" s="1"/>
  <c r="AU59" i="9"/>
  <c r="M79" i="9"/>
  <c r="AP51" i="9"/>
  <c r="AY47" i="9"/>
  <c r="AZ47" i="9" s="1"/>
  <c r="AJ13" i="9"/>
  <c r="AK13" i="9" s="1"/>
  <c r="AJ31" i="9"/>
  <c r="AK31" i="9" s="1"/>
  <c r="K11" i="9"/>
  <c r="L11" i="9" s="1"/>
  <c r="BJ43" i="9"/>
  <c r="U70" i="9"/>
  <c r="V70" i="9" s="1"/>
  <c r="BJ58" i="9"/>
  <c r="AA51" i="9"/>
  <c r="AA29" i="9"/>
  <c r="AZ70" i="9"/>
  <c r="AT78" i="9"/>
  <c r="AU78" i="9" s="1"/>
  <c r="Z7" i="9"/>
  <c r="AA7" i="9" s="1"/>
  <c r="BE73" i="9"/>
  <c r="AN68" i="9"/>
  <c r="AN11" i="9"/>
  <c r="AK43" i="9"/>
  <c r="BD43" i="9"/>
  <c r="BE43" i="9" s="1"/>
  <c r="V41" i="9"/>
  <c r="AN69" i="9"/>
  <c r="AO69" i="9" s="1"/>
  <c r="AP69" i="9" s="1"/>
  <c r="K38" i="9"/>
  <c r="L38" i="9" s="1"/>
  <c r="AU41" i="9"/>
  <c r="BC38" i="9"/>
  <c r="BD38" i="9" s="1"/>
  <c r="BE38" i="9" s="1"/>
  <c r="K42" i="9"/>
  <c r="L42" i="9" s="1"/>
  <c r="AT11" i="9"/>
  <c r="AU11" i="9" s="1"/>
  <c r="BC25" i="9"/>
  <c r="BD25" i="9" s="1"/>
  <c r="AA61" i="9"/>
  <c r="BL32" i="7"/>
  <c r="AJ23" i="8"/>
  <c r="AK23" i="8" s="1"/>
  <c r="Z26" i="8"/>
  <c r="AA26" i="8" s="1"/>
  <c r="AO25" i="8"/>
  <c r="AP25" i="8" s="1"/>
  <c r="Z23" i="8"/>
  <c r="AA23" i="8"/>
  <c r="AY66" i="8"/>
  <c r="AZ66" i="8" s="1"/>
  <c r="AT25" i="8"/>
  <c r="AU25" i="8" s="1"/>
  <c r="AJ50" i="8"/>
  <c r="AK50" i="8" s="1"/>
  <c r="K27" i="8"/>
  <c r="L27" i="8"/>
  <c r="Z13" i="8"/>
  <c r="AA13" i="8" s="1"/>
  <c r="K41" i="8"/>
  <c r="L41" i="8" s="1"/>
  <c r="AP24" i="8"/>
  <c r="BI27" i="8"/>
  <c r="BJ27" i="8"/>
  <c r="AO7" i="8"/>
  <c r="AP7" i="8" s="1"/>
  <c r="BD12" i="8"/>
  <c r="BE12" i="8" s="1"/>
  <c r="Z41" i="8"/>
  <c r="AA41" i="8" s="1"/>
  <c r="AT71" i="8"/>
  <c r="AU71" i="8" s="1"/>
  <c r="AJ41" i="8"/>
  <c r="AK41" i="8" s="1"/>
  <c r="Z39" i="8"/>
  <c r="BI48" i="8"/>
  <c r="BJ48" i="8"/>
  <c r="AK11" i="8"/>
  <c r="AK44" i="8"/>
  <c r="AS38" i="8"/>
  <c r="AT38" i="8"/>
  <c r="AU38" i="8" s="1"/>
  <c r="BB74" i="8"/>
  <c r="Y28" i="8"/>
  <c r="Z28" i="8" s="1"/>
  <c r="AA28" i="8" s="1"/>
  <c r="AX48" i="8"/>
  <c r="AY48" i="8"/>
  <c r="AI9" i="8"/>
  <c r="AJ9" i="8" s="1"/>
  <c r="U36" i="8"/>
  <c r="V36" i="8" s="1"/>
  <c r="AR30" i="8"/>
  <c r="AR32" i="8" s="1"/>
  <c r="I30" i="8"/>
  <c r="I32" i="8"/>
  <c r="AU54" i="8"/>
  <c r="Q48" i="8"/>
  <c r="BJ60" i="8"/>
  <c r="BE38" i="8"/>
  <c r="BJ50" i="8"/>
  <c r="BD25" i="8"/>
  <c r="BE25" i="8"/>
  <c r="N62" i="8"/>
  <c r="Y72" i="8"/>
  <c r="Y74" i="8" s="1"/>
  <c r="AC77" i="8"/>
  <c r="AD30" i="8"/>
  <c r="AD32" i="8" s="1"/>
  <c r="AD77" i="8" s="1"/>
  <c r="D62" i="8"/>
  <c r="AP50" i="8"/>
  <c r="AK31" i="8"/>
  <c r="AX38" i="8"/>
  <c r="N74" i="8"/>
  <c r="AU46" i="8"/>
  <c r="BH53" i="8"/>
  <c r="BJ53" i="8" s="1"/>
  <c r="BI53" i="8"/>
  <c r="BD24" i="8"/>
  <c r="BE24" i="8" s="1"/>
  <c r="K66" i="8"/>
  <c r="AK12" i="8"/>
  <c r="AA7" i="8"/>
  <c r="Q13" i="8"/>
  <c r="AY39" i="8"/>
  <c r="AZ39" i="8" s="1"/>
  <c r="K21" i="8"/>
  <c r="L21" i="8" s="1"/>
  <c r="K53" i="8"/>
  <c r="L53" i="8" s="1"/>
  <c r="BG30" i="8"/>
  <c r="BG32" i="8" s="1"/>
  <c r="BI54" i="8"/>
  <c r="BJ54" i="8"/>
  <c r="V10" i="8"/>
  <c r="AK35" i="8"/>
  <c r="AK37" i="8"/>
  <c r="Q66" i="8"/>
  <c r="BH51" i="8"/>
  <c r="BI51" i="8" s="1"/>
  <c r="AU66" i="8"/>
  <c r="BD39" i="8"/>
  <c r="BE39" i="8"/>
  <c r="F21" i="8"/>
  <c r="G21" i="8" s="1"/>
  <c r="F24" i="8"/>
  <c r="G24" i="8" s="1"/>
  <c r="BJ66" i="8"/>
  <c r="BH74" i="8"/>
  <c r="N79" i="8"/>
  <c r="AY10" i="8"/>
  <c r="AZ10" i="8" s="1"/>
  <c r="AO35" i="8"/>
  <c r="AP35" i="8" s="1"/>
  <c r="J24" i="8"/>
  <c r="K24" i="8"/>
  <c r="L24" i="8" s="1"/>
  <c r="BG74" i="8"/>
  <c r="BD72" i="8"/>
  <c r="BE72" i="8"/>
  <c r="AF60" i="8"/>
  <c r="AV77" i="8"/>
  <c r="AS72" i="8"/>
  <c r="AT72" i="8"/>
  <c r="AU72" i="8" s="1"/>
  <c r="AH74" i="8"/>
  <c r="K40" i="8"/>
  <c r="V41" i="8"/>
  <c r="AU10" i="8"/>
  <c r="BD52" i="8"/>
  <c r="BE52" i="8" s="1"/>
  <c r="AM74" i="8"/>
  <c r="BE68" i="8"/>
  <c r="AU24" i="8"/>
  <c r="K11" i="8"/>
  <c r="L11" i="8" s="1"/>
  <c r="BK19" i="5"/>
  <c r="BJ18" i="7"/>
  <c r="BK18" i="7" s="1"/>
  <c r="N37" i="6"/>
  <c r="BJ37" i="8"/>
  <c r="BJ19" i="6"/>
  <c r="BJ17" i="6"/>
  <c r="BJ20" i="6" s="1"/>
  <c r="BE65" i="8"/>
  <c r="BJ11" i="8"/>
  <c r="Z30" i="6"/>
  <c r="Z33" i="6" s="1"/>
  <c r="Z37" i="6" s="1"/>
  <c r="Z19" i="6"/>
  <c r="AO26" i="9"/>
  <c r="AP26" i="9" s="1"/>
  <c r="S152" i="10"/>
  <c r="W149" i="10"/>
  <c r="BJ38" i="8"/>
  <c r="Z31" i="8"/>
  <c r="AA31" i="8" s="1"/>
  <c r="AY25" i="8"/>
  <c r="AZ25" i="8" s="1"/>
  <c r="AK39" i="8"/>
  <c r="AD19" i="6"/>
  <c r="AD30" i="6"/>
  <c r="AD33" i="6" s="1"/>
  <c r="AD37" i="6" s="1"/>
  <c r="AD41" i="6" s="1"/>
  <c r="K26" i="8"/>
  <c r="L26" i="8" s="1"/>
  <c r="AA51" i="8"/>
  <c r="AO10" i="9"/>
  <c r="AP10" i="9" s="1"/>
  <c r="L23" i="8"/>
  <c r="AR44" i="8"/>
  <c r="AQ62" i="8"/>
  <c r="AJ25" i="8"/>
  <c r="AK25" i="8" s="1"/>
  <c r="AJ24" i="8"/>
  <c r="AK24" i="8"/>
  <c r="AX17" i="8"/>
  <c r="E17" i="8"/>
  <c r="F17" i="8" s="1"/>
  <c r="G17" i="8" s="1"/>
  <c r="AT9" i="8"/>
  <c r="AU9" i="8"/>
  <c r="AU66" i="5"/>
  <c r="BI59" i="9"/>
  <c r="BJ59" i="9" s="1"/>
  <c r="N19" i="2"/>
  <c r="N22" i="2"/>
  <c r="N30" i="2" s="1"/>
  <c r="N33" i="2" s="1"/>
  <c r="N36" i="2" s="1"/>
  <c r="Y24" i="8"/>
  <c r="Z24" i="8" s="1"/>
  <c r="AA24" i="8" s="1"/>
  <c r="X30" i="8"/>
  <c r="X32" i="8"/>
  <c r="AU42" i="8"/>
  <c r="AA25" i="8"/>
  <c r="BD44" i="8"/>
  <c r="J29" i="9"/>
  <c r="F52" i="8"/>
  <c r="G52" i="8" s="1"/>
  <c r="K31" i="8"/>
  <c r="L31" i="8" s="1"/>
  <c r="S30" i="8"/>
  <c r="S32" i="8"/>
  <c r="T24" i="8"/>
  <c r="U24" i="8" s="1"/>
  <c r="AS55" i="8"/>
  <c r="BJ55" i="8"/>
  <c r="AZ19" i="8"/>
  <c r="G36" i="8"/>
  <c r="U58" i="9"/>
  <c r="V58" i="9" s="1"/>
  <c r="AF46" i="9"/>
  <c r="AJ45" i="9"/>
  <c r="AK45" i="9" s="1"/>
  <c r="AY72" i="8"/>
  <c r="AK66" i="8"/>
  <c r="AT35" i="8"/>
  <c r="AU35" i="8"/>
  <c r="BD55" i="5"/>
  <c r="BE49" i="5"/>
  <c r="AJ73" i="9"/>
  <c r="Y46" i="9"/>
  <c r="Z46" i="9" s="1"/>
  <c r="AX62" i="9"/>
  <c r="AI21" i="9"/>
  <c r="AJ21" i="9" s="1"/>
  <c r="AE77" i="8"/>
  <c r="E28" i="8"/>
  <c r="F28" i="8" s="1"/>
  <c r="AU55" i="9"/>
  <c r="AU41" i="8"/>
  <c r="L36" i="8"/>
  <c r="G48" i="9"/>
  <c r="AO65" i="8"/>
  <c r="AP65" i="8" s="1"/>
  <c r="AX31" i="8"/>
  <c r="AY31" i="8" s="1"/>
  <c r="BI10" i="8"/>
  <c r="BJ10" i="8" s="1"/>
  <c r="BJ44" i="9"/>
  <c r="AL30" i="6"/>
  <c r="AL33" i="6" s="1"/>
  <c r="AL37" i="6" s="1"/>
  <c r="AZ61" i="9"/>
  <c r="K72" i="8"/>
  <c r="BJ31" i="8"/>
  <c r="AU17" i="8"/>
  <c r="AF25" i="9"/>
  <c r="U76" i="8"/>
  <c r="U79" i="8" s="1"/>
  <c r="W78" i="8" s="1"/>
  <c r="E10" i="8"/>
  <c r="D30" i="8"/>
  <c r="D32" i="8" s="1"/>
  <c r="Y54" i="9"/>
  <c r="Z54" i="9" s="1"/>
  <c r="AA54" i="9" s="1"/>
  <c r="AP48" i="7"/>
  <c r="AP54" i="7" s="1"/>
  <c r="AQ54" i="7" s="1"/>
  <c r="AO12" i="8"/>
  <c r="AP12" i="8" s="1"/>
  <c r="AN23" i="8"/>
  <c r="AO23" i="8" s="1"/>
  <c r="AP23" i="8" s="1"/>
  <c r="AP73" i="9"/>
  <c r="Y40" i="9"/>
  <c r="Z40" i="9" s="1"/>
  <c r="K110" i="11"/>
  <c r="J109" i="10"/>
  <c r="U50" i="8"/>
  <c r="I109" i="10"/>
  <c r="AP47" i="8"/>
  <c r="BA30" i="6"/>
  <c r="BA33" i="6" s="1"/>
  <c r="BA37" i="6" s="1"/>
  <c r="BA19" i="6"/>
  <c r="BC76" i="8"/>
  <c r="BD76" i="8" s="1"/>
  <c r="O23" i="8"/>
  <c r="K175" i="11"/>
  <c r="BJ47" i="5"/>
  <c r="BI49" i="5"/>
  <c r="BJ49" i="5" s="1"/>
  <c r="BI59" i="8"/>
  <c r="BJ59" i="8" s="1"/>
  <c r="BJ71" i="8"/>
  <c r="AV15" i="6"/>
  <c r="AV19" i="6" s="1"/>
  <c r="K56" i="8"/>
  <c r="L56" i="8" s="1"/>
  <c r="V39" i="8"/>
  <c r="Y34" i="5"/>
  <c r="BJ72" i="8"/>
  <c r="Q49" i="8"/>
  <c r="E26" i="8"/>
  <c r="F26" i="8" s="1"/>
  <c r="G26" i="8" s="1"/>
  <c r="AI10" i="8"/>
  <c r="AH62" i="9"/>
  <c r="AI62" i="9" s="1"/>
  <c r="AJ62" i="9" s="1"/>
  <c r="AK62" i="9" s="1"/>
  <c r="O41" i="8"/>
  <c r="Q41" i="8" s="1"/>
  <c r="V27" i="8"/>
  <c r="AP21" i="8"/>
  <c r="V13" i="6"/>
  <c r="AE15" i="2"/>
  <c r="AE19" i="2" s="1"/>
  <c r="S15" i="2"/>
  <c r="BH68" i="9"/>
  <c r="R15" i="2"/>
  <c r="R22" i="2" s="1"/>
  <c r="R30" i="2" s="1"/>
  <c r="R33" i="2" s="1"/>
  <c r="R36" i="2" s="1"/>
  <c r="BI45" i="8"/>
  <c r="BJ45" i="8"/>
  <c r="BJ52" i="8"/>
  <c r="BJ32" i="7"/>
  <c r="BK32" i="7" s="1"/>
  <c r="BC9" i="8"/>
  <c r="AN22" i="2"/>
  <c r="AN30" i="2" s="1"/>
  <c r="AN33" i="2" s="1"/>
  <c r="AN36" i="2" s="1"/>
  <c r="AN19" i="2"/>
  <c r="Y19" i="2"/>
  <c r="BC22" i="2"/>
  <c r="BC30" i="2" s="1"/>
  <c r="BC33" i="2" s="1"/>
  <c r="BC36" i="2" s="1"/>
  <c r="BC19" i="2"/>
  <c r="AT55" i="5"/>
  <c r="AU55" i="5" s="1"/>
  <c r="AP42" i="8"/>
  <c r="BG32" i="6"/>
  <c r="K30" i="6"/>
  <c r="K33" i="6" s="1"/>
  <c r="K37" i="6" s="1"/>
  <c r="AP30" i="6"/>
  <c r="AP33" i="6"/>
  <c r="AP37" i="6" s="1"/>
  <c r="AP40" i="6" s="1"/>
  <c r="AP19" i="6"/>
  <c r="AI19" i="6"/>
  <c r="AI30" i="6"/>
  <c r="AI33" i="6" s="1"/>
  <c r="AI37" i="6" s="1"/>
  <c r="R37" i="6"/>
  <c r="BK19" i="6"/>
  <c r="BK30" i="6"/>
  <c r="J30" i="6"/>
  <c r="J33" i="6" s="1"/>
  <c r="J19" i="6"/>
  <c r="T19" i="6"/>
  <c r="T30" i="6"/>
  <c r="T33" i="6" s="1"/>
  <c r="T37" i="6" s="1"/>
  <c r="AC30" i="6"/>
  <c r="AC33" i="6" s="1"/>
  <c r="AC37" i="6" s="1"/>
  <c r="AC19" i="6"/>
  <c r="O30" i="6"/>
  <c r="O33" i="6"/>
  <c r="O37" i="6" s="1"/>
  <c r="O19" i="6"/>
  <c r="X19" i="6"/>
  <c r="X30" i="6"/>
  <c r="X33" i="6"/>
  <c r="X37" i="6" s="1"/>
  <c r="BJ28" i="8"/>
  <c r="L39" i="8"/>
  <c r="BJ23" i="8"/>
  <c r="AZ72" i="8"/>
  <c r="BJ19" i="5"/>
  <c r="BK55" i="5"/>
  <c r="AZ19" i="2"/>
  <c r="AZ22" i="2"/>
  <c r="AZ30" i="2" s="1"/>
  <c r="AZ33" i="2"/>
  <c r="AZ36" i="2" s="1"/>
  <c r="AG22" i="2"/>
  <c r="AG30" i="2" s="1"/>
  <c r="AG33" i="2" s="1"/>
  <c r="AG36" i="2" s="1"/>
  <c r="AG19" i="2"/>
  <c r="C30" i="2"/>
  <c r="O19" i="2"/>
  <c r="O22" i="2"/>
  <c r="O30" i="2"/>
  <c r="O33" i="2"/>
  <c r="O36" i="2"/>
  <c r="AD22" i="2"/>
  <c r="AD30" i="2" s="1"/>
  <c r="AD33" i="2" s="1"/>
  <c r="AD36" i="2" s="1"/>
  <c r="AD19" i="2"/>
  <c r="AT22" i="2"/>
  <c r="AT30" i="2" s="1"/>
  <c r="AT33" i="2" s="1"/>
  <c r="AT36" i="2" s="1"/>
  <c r="AT19" i="2"/>
  <c r="AA40" i="9"/>
  <c r="AY62" i="9"/>
  <c r="AZ62" i="9" s="1"/>
  <c r="AO68" i="9"/>
  <c r="AP68" i="9" s="1"/>
  <c r="AK73" i="9"/>
  <c r="BE25" i="9"/>
  <c r="L72" i="8"/>
  <c r="AY38" i="8"/>
  <c r="AZ38" i="8" s="1"/>
  <c r="BK34" i="5"/>
  <c r="T30" i="8"/>
  <c r="T32" i="8" s="1"/>
  <c r="BE44" i="8"/>
  <c r="BI68" i="9"/>
  <c r="BJ68" i="9" s="1"/>
  <c r="S19" i="2"/>
  <c r="S22" i="2"/>
  <c r="S30" i="2"/>
  <c r="S33" i="2"/>
  <c r="S36" i="2" s="1"/>
  <c r="AJ10" i="8"/>
  <c r="V50" i="8"/>
  <c r="S154" i="10"/>
  <c r="W152" i="10"/>
  <c r="BI55" i="5"/>
  <c r="BI67" i="5" s="1"/>
  <c r="BJ67" i="5" s="1"/>
  <c r="AE22" i="2"/>
  <c r="AE30" i="2" s="1"/>
  <c r="AE33" i="2" s="1"/>
  <c r="AE36" i="2" s="1"/>
  <c r="AS44" i="8"/>
  <c r="AT44" i="8" s="1"/>
  <c r="AV30" i="6"/>
  <c r="AV33" i="6" s="1"/>
  <c r="AV37" i="6" s="1"/>
  <c r="F10" i="8"/>
  <c r="G10" i="8" s="1"/>
  <c r="BD67" i="5"/>
  <c r="BE67" i="5"/>
  <c r="BE55" i="5"/>
  <c r="AT67" i="5"/>
  <c r="AU67" i="5" s="1"/>
  <c r="J37" i="6"/>
  <c r="C33" i="2"/>
  <c r="C36" i="2" s="1"/>
  <c r="AK10" i="8"/>
  <c r="V24" i="8"/>
  <c r="Z55" i="9" l="1"/>
  <c r="AA55" i="9"/>
  <c r="AZ20" i="9"/>
  <c r="AP62" i="9"/>
  <c r="Q18" i="9"/>
  <c r="AD64" i="9"/>
  <c r="Y69" i="9"/>
  <c r="Z69" i="9" s="1"/>
  <c r="AA69" i="9" s="1"/>
  <c r="BD20" i="9"/>
  <c r="BE20" i="9" s="1"/>
  <c r="BA79" i="9"/>
  <c r="BD59" i="9"/>
  <c r="BE59" i="9" s="1"/>
  <c r="AP70" i="9"/>
  <c r="J69" i="9"/>
  <c r="J76" i="9" s="1"/>
  <c r="J41" i="9"/>
  <c r="K41" i="9" s="1"/>
  <c r="L41" i="9" s="1"/>
  <c r="AP20" i="9"/>
  <c r="AU20" i="9"/>
  <c r="AY20" i="9"/>
  <c r="N76" i="9"/>
  <c r="Q76" i="9" s="1"/>
  <c r="AU12" i="9"/>
  <c r="BD26" i="9"/>
  <c r="BE26" i="9" s="1"/>
  <c r="AA67" i="9"/>
  <c r="AX13" i="9"/>
  <c r="AL79" i="9"/>
  <c r="BD60" i="9"/>
  <c r="BE60" i="9" s="1"/>
  <c r="Q69" i="9"/>
  <c r="AA43" i="9"/>
  <c r="AB79" i="9"/>
  <c r="K79" i="9"/>
  <c r="L79" i="9" s="1"/>
  <c r="AY78" i="9"/>
  <c r="AZ78" i="9" s="1"/>
  <c r="G76" i="9"/>
  <c r="AC79" i="9"/>
  <c r="AU65" i="7"/>
  <c r="AV65" i="7" s="1"/>
  <c r="AZ32" i="7"/>
  <c r="BA32" i="7" s="1"/>
  <c r="BE65" i="7"/>
  <c r="BF65" i="7" s="1"/>
  <c r="AA66" i="7"/>
  <c r="H66" i="7"/>
  <c r="AJ32" i="7"/>
  <c r="X32" i="7"/>
  <c r="L32" i="7"/>
  <c r="BF16" i="7"/>
  <c r="AK65" i="7"/>
  <c r="AL65" i="7" s="1"/>
  <c r="G66" i="7"/>
  <c r="AX32" i="7"/>
  <c r="AI32" i="7"/>
  <c r="W32" i="7"/>
  <c r="K32" i="7"/>
  <c r="AU18" i="7"/>
  <c r="AV18" i="7" s="1"/>
  <c r="I32" i="7"/>
  <c r="AF32" i="7"/>
  <c r="H32" i="7"/>
  <c r="AW32" i="7"/>
  <c r="Y66" i="7"/>
  <c r="AP66" i="7"/>
  <c r="AQ66" i="7" s="1"/>
  <c r="Z66" i="7"/>
  <c r="AE66" i="7"/>
  <c r="L66" i="7"/>
  <c r="AW66" i="7"/>
  <c r="AO32" i="7"/>
  <c r="BD32" i="7"/>
  <c r="T66" i="7"/>
  <c r="AQ48" i="7"/>
  <c r="AS66" i="7"/>
  <c r="K66" i="7"/>
  <c r="BH66" i="7"/>
  <c r="BF46" i="7"/>
  <c r="AM32" i="7"/>
  <c r="AH32" i="7"/>
  <c r="BF48" i="7"/>
  <c r="BE54" i="7"/>
  <c r="AF66" i="7"/>
  <c r="BC66" i="7"/>
  <c r="AA32" i="7"/>
  <c r="BA31" i="7"/>
  <c r="S66" i="7"/>
  <c r="AK32" i="7"/>
  <c r="AQ63" i="7"/>
  <c r="AG32" i="7"/>
  <c r="V32" i="7"/>
  <c r="P66" i="7"/>
  <c r="AT66" i="7"/>
  <c r="BG66" i="7"/>
  <c r="AR32" i="7"/>
  <c r="U32" i="7"/>
  <c r="T32" i="7"/>
  <c r="BB32" i="7"/>
  <c r="AK48" i="7"/>
  <c r="AD32" i="7"/>
  <c r="S32" i="7"/>
  <c r="G32" i="7"/>
  <c r="BJ48" i="7"/>
  <c r="AC32" i="7"/>
  <c r="R32" i="7"/>
  <c r="BA16" i="7"/>
  <c r="AN32" i="7"/>
  <c r="AB32" i="7"/>
  <c r="P32" i="7"/>
  <c r="D32" i="7"/>
  <c r="BI66" i="7"/>
  <c r="D30" i="6"/>
  <c r="D33" i="6" s="1"/>
  <c r="D19" i="6"/>
  <c r="Z40" i="6"/>
  <c r="Z41" i="6"/>
  <c r="I19" i="6"/>
  <c r="I30" i="6"/>
  <c r="I33" i="6" s="1"/>
  <c r="I37" i="6" s="1"/>
  <c r="BI19" i="6"/>
  <c r="BI30" i="6"/>
  <c r="BI33" i="6" s="1"/>
  <c r="BI37" i="6" s="1"/>
  <c r="BH17" i="6"/>
  <c r="BH20" i="6" s="1"/>
  <c r="BH30" i="6"/>
  <c r="BH33" i="6" s="1"/>
  <c r="BH37" i="6" s="1"/>
  <c r="BH19" i="6"/>
  <c r="AW19" i="6"/>
  <c r="AW30" i="6"/>
  <c r="AW33" i="6" s="1"/>
  <c r="AW37" i="6" s="1"/>
  <c r="AH19" i="6"/>
  <c r="AH30" i="6"/>
  <c r="AH33" i="6" s="1"/>
  <c r="AH37" i="6" s="1"/>
  <c r="AH41" i="6" s="1"/>
  <c r="BG40" i="6"/>
  <c r="BG41" i="6"/>
  <c r="S19" i="6"/>
  <c r="BE30" i="6"/>
  <c r="BE33" i="6" s="1"/>
  <c r="BE37" i="6" s="1"/>
  <c r="G9" i="6"/>
  <c r="Y15" i="6"/>
  <c r="Y30" i="6" s="1"/>
  <c r="Y33" i="6" s="1"/>
  <c r="Y37" i="6" s="1"/>
  <c r="S30" i="6"/>
  <c r="S33" i="6" s="1"/>
  <c r="S37" i="6" s="1"/>
  <c r="AM15" i="6"/>
  <c r="AM30" i="6" s="1"/>
  <c r="AM33" i="6" s="1"/>
  <c r="AM37" i="6" s="1"/>
  <c r="V30" i="6"/>
  <c r="BK32" i="6"/>
  <c r="BK33" i="6"/>
  <c r="BK37" i="6" s="1"/>
  <c r="AR19" i="6"/>
  <c r="AY15" i="6"/>
  <c r="BC15" i="6"/>
  <c r="BO15" i="6"/>
  <c r="BO19" i="6" s="1"/>
  <c r="AG15" i="6"/>
  <c r="AZ15" i="6"/>
  <c r="AN19" i="6"/>
  <c r="AF19" i="6"/>
  <c r="BJ30" i="6"/>
  <c r="AA13" i="6"/>
  <c r="AA15" i="6" s="1"/>
  <c r="M15" i="6"/>
  <c r="AY28" i="8"/>
  <c r="AZ28" i="8"/>
  <c r="BI49" i="8"/>
  <c r="BJ49" i="8" s="1"/>
  <c r="BH62" i="8"/>
  <c r="AN44" i="8"/>
  <c r="AO44" i="8" s="1"/>
  <c r="AM62" i="8"/>
  <c r="AU37" i="8"/>
  <c r="BD54" i="8"/>
  <c r="BE54" i="8" s="1"/>
  <c r="AT70" i="8"/>
  <c r="AU70" i="8"/>
  <c r="AS74" i="8"/>
  <c r="Z44" i="8"/>
  <c r="AA44" i="8"/>
  <c r="L76" i="8"/>
  <c r="Q72" i="8"/>
  <c r="Q74" i="8" s="1"/>
  <c r="O74" i="8"/>
  <c r="AZ65" i="8"/>
  <c r="AX74" i="8"/>
  <c r="K42" i="8"/>
  <c r="L42" i="8" s="1"/>
  <c r="K7" i="8"/>
  <c r="L7" i="8" s="1"/>
  <c r="BI76" i="8"/>
  <c r="BJ76" i="8"/>
  <c r="Z43" i="8"/>
  <c r="AA43" i="8"/>
  <c r="Z9" i="8"/>
  <c r="AA9" i="8" s="1"/>
  <c r="AT74" i="8"/>
  <c r="AU74" i="8" s="1"/>
  <c r="K50" i="8"/>
  <c r="V43" i="8"/>
  <c r="U62" i="8"/>
  <c r="BD51" i="8"/>
  <c r="BE51" i="8" s="1"/>
  <c r="BD71" i="8"/>
  <c r="BE71" i="8" s="1"/>
  <c r="K79" i="8"/>
  <c r="BI25" i="8"/>
  <c r="BJ25" i="8" s="1"/>
  <c r="K77" i="8"/>
  <c r="AY52" i="8"/>
  <c r="AZ52" i="8" s="1"/>
  <c r="AY51" i="8"/>
  <c r="AZ51" i="8" s="1"/>
  <c r="Q31" i="8"/>
  <c r="AX30" i="8"/>
  <c r="AO52" i="8"/>
  <c r="AP52" i="8"/>
  <c r="BD7" i="8"/>
  <c r="BE7" i="8"/>
  <c r="AO53" i="8"/>
  <c r="AP53" i="8" s="1"/>
  <c r="AO49" i="8"/>
  <c r="AP49" i="8" s="1"/>
  <c r="BJ35" i="8"/>
  <c r="BI62" i="8"/>
  <c r="AH77" i="8"/>
  <c r="AL77" i="8"/>
  <c r="AT7" i="8"/>
  <c r="AU7" i="8" s="1"/>
  <c r="AO76" i="8"/>
  <c r="AP76" i="8"/>
  <c r="AJ53" i="8"/>
  <c r="AK53" i="8"/>
  <c r="AY44" i="8"/>
  <c r="AZ44" i="8" s="1"/>
  <c r="BI21" i="8"/>
  <c r="BJ21" i="8"/>
  <c r="O30" i="8"/>
  <c r="O32" i="8" s="1"/>
  <c r="Z72" i="8"/>
  <c r="AA72" i="8" s="1"/>
  <c r="W79" i="8"/>
  <c r="X78" i="8" s="1"/>
  <c r="AI62" i="8"/>
  <c r="X62" i="8"/>
  <c r="AU51" i="8"/>
  <c r="AF74" i="8"/>
  <c r="AW74" i="8"/>
  <c r="AW77" i="8" s="1"/>
  <c r="AY65" i="8"/>
  <c r="BD37" i="8"/>
  <c r="Q77" i="8"/>
  <c r="N32" i="8"/>
  <c r="E77" i="8"/>
  <c r="J77" i="8"/>
  <c r="AA53" i="8"/>
  <c r="K9" i="8"/>
  <c r="L9" i="8" s="1"/>
  <c r="J50" i="8"/>
  <c r="AS37" i="8"/>
  <c r="AT37" i="8" s="1"/>
  <c r="O31" i="8"/>
  <c r="BE53" i="8"/>
  <c r="BH30" i="8"/>
  <c r="BH32" i="8" s="1"/>
  <c r="AK60" i="8"/>
  <c r="X77" i="8"/>
  <c r="X79" i="8" s="1"/>
  <c r="Y78" i="8" s="1"/>
  <c r="I62" i="8"/>
  <c r="AH62" i="8"/>
  <c r="F66" i="8"/>
  <c r="F74" i="8" s="1"/>
  <c r="AY17" i="8"/>
  <c r="AZ17" i="8" s="1"/>
  <c r="AA39" i="8"/>
  <c r="K35" i="8"/>
  <c r="L35" i="8" s="1"/>
  <c r="AK13" i="8"/>
  <c r="J62" i="8"/>
  <c r="AK52" i="8"/>
  <c r="V76" i="8"/>
  <c r="V79" i="8" s="1"/>
  <c r="AA78" i="8" s="1"/>
  <c r="AP66" i="8"/>
  <c r="L77" i="8"/>
  <c r="J79" i="8"/>
  <c r="AQ77" i="8"/>
  <c r="Q23" i="8"/>
  <c r="G28" i="8"/>
  <c r="G39" i="8"/>
  <c r="AR62" i="8"/>
  <c r="T62" i="8"/>
  <c r="AK7" i="8"/>
  <c r="D74" i="8"/>
  <c r="BE28" i="8"/>
  <c r="L50" i="8"/>
  <c r="V52" i="8"/>
  <c r="AU44" i="8"/>
  <c r="AG62" i="8"/>
  <c r="AG77" i="8" s="1"/>
  <c r="V77" i="8"/>
  <c r="AP34" i="5"/>
  <c r="AX34" i="5"/>
  <c r="K34" i="5"/>
  <c r="AP47" i="5"/>
  <c r="AP49" i="5" s="1"/>
  <c r="AP55" i="5" s="1"/>
  <c r="AP67" i="5" s="1"/>
  <c r="J34" i="5"/>
  <c r="I67" i="5"/>
  <c r="AK33" i="5"/>
  <c r="AK34" i="5" s="1"/>
  <c r="AJ34" i="5"/>
  <c r="R34" i="5"/>
  <c r="AY49" i="5"/>
  <c r="AD67" i="5"/>
  <c r="S34" i="5"/>
  <c r="AC67" i="5"/>
  <c r="AC34" i="5"/>
  <c r="AA34" i="5"/>
  <c r="D34" i="5"/>
  <c r="AM34" i="5"/>
  <c r="N34" i="5"/>
  <c r="AZ19" i="5"/>
  <c r="AJ67" i="5"/>
  <c r="AK67" i="5" s="1"/>
  <c r="AI67" i="5"/>
  <c r="AL67" i="5"/>
  <c r="L34" i="5"/>
  <c r="BH34" i="5"/>
  <c r="AF22" i="2"/>
  <c r="AF19" i="2"/>
  <c r="BJ19" i="2"/>
  <c r="BJ22" i="2"/>
  <c r="BJ17" i="2"/>
  <c r="BJ20" i="2" s="1"/>
  <c r="AK22" i="2"/>
  <c r="AK30" i="2" s="1"/>
  <c r="AK33" i="2" s="1"/>
  <c r="AK36" i="2" s="1"/>
  <c r="AK19" i="2"/>
  <c r="AA22" i="2"/>
  <c r="AA19" i="2"/>
  <c r="AP15" i="2"/>
  <c r="AQ39" i="2"/>
  <c r="AQ40" i="2"/>
  <c r="BA19" i="2"/>
  <c r="BA22" i="2"/>
  <c r="BA30" i="2" s="1"/>
  <c r="BA33" i="2" s="1"/>
  <c r="BA36" i="2" s="1"/>
  <c r="BA40" i="2" s="1"/>
  <c r="AL19" i="2"/>
  <c r="AL22" i="2"/>
  <c r="AL30" i="2" s="1"/>
  <c r="AL33" i="2" s="1"/>
  <c r="AL36" i="2" s="1"/>
  <c r="W19" i="2"/>
  <c r="W22" i="2"/>
  <c r="W30" i="2" s="1"/>
  <c r="H19" i="2"/>
  <c r="H22" i="2"/>
  <c r="H30" i="2" s="1"/>
  <c r="H33" i="2" s="1"/>
  <c r="H36" i="2" s="1"/>
  <c r="M33" i="2"/>
  <c r="M36" i="2" s="1"/>
  <c r="Q30" i="2"/>
  <c r="Q33" i="2" s="1"/>
  <c r="Q36" i="2" s="1"/>
  <c r="V19" i="2"/>
  <c r="V22" i="2"/>
  <c r="F22" i="2"/>
  <c r="F30" i="2" s="1"/>
  <c r="F33" i="2" s="1"/>
  <c r="F36" i="2" s="1"/>
  <c r="F19" i="2"/>
  <c r="I19" i="2"/>
  <c r="I22" i="2"/>
  <c r="I30" i="2" s="1"/>
  <c r="I33" i="2" s="1"/>
  <c r="I36" i="2" s="1"/>
  <c r="Q19" i="2"/>
  <c r="Q22" i="2"/>
  <c r="AI22" i="2"/>
  <c r="AI30" i="2" s="1"/>
  <c r="AI33" i="2" s="1"/>
  <c r="AI36" i="2" s="1"/>
  <c r="AI19" i="2"/>
  <c r="BD22" i="2"/>
  <c r="BD30" i="2" s="1"/>
  <c r="BD33" i="2" s="1"/>
  <c r="BD36" i="2" s="1"/>
  <c r="BD19" i="2"/>
  <c r="BC40" i="2"/>
  <c r="BC39" i="2"/>
  <c r="Y40" i="2"/>
  <c r="Y39" i="2"/>
  <c r="AS39" i="2"/>
  <c r="AS40" i="2"/>
  <c r="AO15" i="2"/>
  <c r="AO22" i="2" s="1"/>
  <c r="AO30" i="2" s="1"/>
  <c r="AO33" i="2" s="1"/>
  <c r="AO36" i="2" s="1"/>
  <c r="BE15" i="2"/>
  <c r="BK15" i="2"/>
  <c r="X15" i="2"/>
  <c r="BI15" i="2"/>
  <c r="BB19" i="2"/>
  <c r="T19" i="2"/>
  <c r="AH39" i="2"/>
  <c r="AF30" i="2"/>
  <c r="AF33" i="2" s="1"/>
  <c r="AF36" i="2" s="1"/>
  <c r="G15" i="2"/>
  <c r="G19" i="2" s="1"/>
  <c r="E22" i="2"/>
  <c r="G22" i="2" s="1"/>
  <c r="J19" i="2"/>
  <c r="R19" i="2"/>
  <c r="K19" i="2"/>
  <c r="AU15" i="2"/>
  <c r="AP13" i="2"/>
  <c r="AY40" i="2"/>
  <c r="AC15" i="2"/>
  <c r="AB15" i="2"/>
  <c r="BO19" i="2"/>
  <c r="F30" i="6"/>
  <c r="F33" i="6" s="1"/>
  <c r="F37" i="6" s="1"/>
  <c r="F19" i="6"/>
  <c r="H19" i="6"/>
  <c r="H30" i="6"/>
  <c r="H33" i="6" s="1"/>
  <c r="H37" i="6" s="1"/>
  <c r="L15" i="6"/>
  <c r="U67" i="5"/>
  <c r="U34" i="5"/>
  <c r="R66" i="7"/>
  <c r="G15" i="6"/>
  <c r="G19" i="6" s="1"/>
  <c r="V66" i="7"/>
  <c r="L33" i="6"/>
  <c r="L37" i="6" s="1"/>
  <c r="L67" i="5"/>
  <c r="U66" i="7"/>
  <c r="E32" i="7"/>
  <c r="AL16" i="7"/>
  <c r="AL18" i="7" s="1"/>
  <c r="T67" i="5"/>
  <c r="J66" i="7"/>
  <c r="O66" i="7"/>
  <c r="D66" i="7"/>
  <c r="M32" i="7"/>
  <c r="V34" i="5"/>
  <c r="S67" i="5"/>
  <c r="P67" i="5"/>
  <c r="O67" i="5"/>
  <c r="AO71" i="8"/>
  <c r="AO74" i="8" s="1"/>
  <c r="AP71" i="8"/>
  <c r="AN74" i="8"/>
  <c r="F13" i="8"/>
  <c r="G13" i="8" s="1"/>
  <c r="F9" i="8"/>
  <c r="G9" i="8"/>
  <c r="F37" i="8"/>
  <c r="G37" i="8" s="1"/>
  <c r="BC74" i="8"/>
  <c r="BE74" i="8" s="1"/>
  <c r="Z55" i="8"/>
  <c r="AA55" i="8" s="1"/>
  <c r="AO46" i="8"/>
  <c r="AN62" i="8"/>
  <c r="E34" i="5"/>
  <c r="AL31" i="7"/>
  <c r="C34" i="5"/>
  <c r="Q32" i="7"/>
  <c r="BD69" i="8"/>
  <c r="BD74" i="8" s="1"/>
  <c r="E30" i="6"/>
  <c r="E33" i="6" s="1"/>
  <c r="E37" i="6" s="1"/>
  <c r="F32" i="7"/>
  <c r="K67" i="5"/>
  <c r="G67" i="5"/>
  <c r="K44" i="8"/>
  <c r="F66" i="7"/>
  <c r="G82" i="9"/>
  <c r="AO34" i="9"/>
  <c r="AP34" i="9" s="1"/>
  <c r="BI51" i="9"/>
  <c r="BJ51" i="9"/>
  <c r="AA20" i="9"/>
  <c r="L10" i="9"/>
  <c r="D64" i="9"/>
  <c r="AK61" i="9"/>
  <c r="BD46" i="9"/>
  <c r="BE46" i="9" s="1"/>
  <c r="O30" i="9"/>
  <c r="Q30" i="9" s="1"/>
  <c r="U10" i="9"/>
  <c r="V10" i="9" s="1"/>
  <c r="AK70" i="9"/>
  <c r="K29" i="9"/>
  <c r="L29" i="9" s="1"/>
  <c r="Y20" i="9"/>
  <c r="Z20" i="9" s="1"/>
  <c r="BD10" i="9"/>
  <c r="BE10" i="9" s="1"/>
  <c r="AX64" i="9"/>
  <c r="AH76" i="9"/>
  <c r="G69" i="9"/>
  <c r="X33" i="9"/>
  <c r="X35" i="9" s="1"/>
  <c r="AY51" i="9"/>
  <c r="AZ51" i="9" s="1"/>
  <c r="K30" i="9"/>
  <c r="L30" i="9" s="1"/>
  <c r="AF64" i="9"/>
  <c r="AH64" i="9"/>
  <c r="K10" i="9"/>
  <c r="AZ68" i="9"/>
  <c r="R79" i="9"/>
  <c r="R82" i="9" s="1"/>
  <c r="S80" i="9" s="1"/>
  <c r="S82" i="9" s="1"/>
  <c r="T80" i="9" s="1"/>
  <c r="BJ47" i="9"/>
  <c r="AZ43" i="9"/>
  <c r="U64" i="9"/>
  <c r="AU28" i="9"/>
  <c r="I33" i="9"/>
  <c r="I35" i="9" s="1"/>
  <c r="BJ61" i="9"/>
  <c r="AK78" i="9"/>
  <c r="T33" i="9"/>
  <c r="AV79" i="9"/>
  <c r="AD33" i="9"/>
  <c r="AD35" i="9" s="1"/>
  <c r="BG64" i="9"/>
  <c r="AK11" i="9"/>
  <c r="K49" i="9"/>
  <c r="L49" i="9" s="1"/>
  <c r="K45" i="9"/>
  <c r="L45" i="9" s="1"/>
  <c r="AW76" i="9"/>
  <c r="V42" i="9"/>
  <c r="AA38" i="9"/>
  <c r="AY12" i="9"/>
  <c r="AZ12" i="9" s="1"/>
  <c r="X64" i="9"/>
  <c r="AT58" i="9"/>
  <c r="AU58" i="9" s="1"/>
  <c r="AJ47" i="9"/>
  <c r="AK47" i="9" s="1"/>
  <c r="G64" i="9"/>
  <c r="BI38" i="9"/>
  <c r="BJ38" i="9"/>
  <c r="K23" i="9"/>
  <c r="L23" i="9" s="1"/>
  <c r="BI41" i="9"/>
  <c r="BJ41" i="9" s="1"/>
  <c r="BI31" i="9"/>
  <c r="BJ31" i="9" s="1"/>
  <c r="AT54" i="9"/>
  <c r="AU54" i="9" s="1"/>
  <c r="T35" i="9"/>
  <c r="S79" i="9"/>
  <c r="AO12" i="9"/>
  <c r="AP12" i="9" s="1"/>
  <c r="Z34" i="9"/>
  <c r="AA34" i="9" s="1"/>
  <c r="AT21" i="9"/>
  <c r="AU21" i="9" s="1"/>
  <c r="AY30" i="9"/>
  <c r="AZ30" i="9" s="1"/>
  <c r="AJ7" i="9"/>
  <c r="AK7" i="9" s="1"/>
  <c r="BI74" i="9"/>
  <c r="BJ74" i="9" s="1"/>
  <c r="AS69" i="9"/>
  <c r="AR76" i="9"/>
  <c r="BI78" i="9"/>
  <c r="BJ78" i="9" s="1"/>
  <c r="AT46" i="9"/>
  <c r="AU46" i="9"/>
  <c r="AJ41" i="9"/>
  <c r="AK41" i="9" s="1"/>
  <c r="AI64" i="9"/>
  <c r="Z26" i="9"/>
  <c r="AA26" i="9"/>
  <c r="BD31" i="9"/>
  <c r="BE31" i="9" s="1"/>
  <c r="AO28" i="9"/>
  <c r="AP28" i="9" s="1"/>
  <c r="BD68" i="9"/>
  <c r="BE68" i="9" s="1"/>
  <c r="AO44" i="9"/>
  <c r="AP44" i="9" s="1"/>
  <c r="BI11" i="9"/>
  <c r="BJ11" i="9" s="1"/>
  <c r="BD41" i="9"/>
  <c r="BE41" i="9" s="1"/>
  <c r="BI12" i="9"/>
  <c r="BJ12" i="9" s="1"/>
  <c r="BI46" i="9"/>
  <c r="BJ46" i="9" s="1"/>
  <c r="BI34" i="9"/>
  <c r="BJ34" i="9" s="1"/>
  <c r="AT56" i="9"/>
  <c r="AU56" i="9" s="1"/>
  <c r="AT50" i="9"/>
  <c r="AU50" i="9"/>
  <c r="AU70" i="9"/>
  <c r="BI18" i="9"/>
  <c r="BJ18" i="9" s="1"/>
  <c r="BI55" i="9"/>
  <c r="BJ55" i="9"/>
  <c r="BI21" i="9"/>
  <c r="BJ21" i="9"/>
  <c r="BI54" i="9"/>
  <c r="BJ54" i="9" s="1"/>
  <c r="AY10" i="9"/>
  <c r="AZ10" i="9" s="1"/>
  <c r="AQ76" i="9"/>
  <c r="AQ79" i="9" s="1"/>
  <c r="U29" i="9"/>
  <c r="V29" i="9" s="1"/>
  <c r="Y18" i="9"/>
  <c r="Z18" i="9" s="1"/>
  <c r="AX11" i="9"/>
  <c r="AY11" i="9" s="1"/>
  <c r="AZ11" i="9" s="1"/>
  <c r="BC74" i="9"/>
  <c r="BC76" i="9" s="1"/>
  <c r="BI10" i="9"/>
  <c r="BK79" i="9"/>
  <c r="BL79" i="9" s="1"/>
  <c r="AU18" i="9"/>
  <c r="D33" i="9"/>
  <c r="D35" i="9" s="1"/>
  <c r="G35" i="9" s="1"/>
  <c r="V45" i="9"/>
  <c r="K28" i="9"/>
  <c r="L28" i="9" s="1"/>
  <c r="AF33" i="9"/>
  <c r="AF35" i="9" s="1"/>
  <c r="AK21" i="9"/>
  <c r="AR64" i="9"/>
  <c r="AM33" i="9"/>
  <c r="AM35" i="9" s="1"/>
  <c r="BB76" i="9"/>
  <c r="W79" i="9"/>
  <c r="U76" i="9"/>
  <c r="V76" i="9" s="1"/>
  <c r="AP41" i="9"/>
  <c r="AM64" i="9"/>
  <c r="BG33" i="9"/>
  <c r="BG35" i="9" s="1"/>
  <c r="BD51" i="9"/>
  <c r="BE51" i="9" s="1"/>
  <c r="K18" i="9"/>
  <c r="L18" i="9" s="1"/>
  <c r="BB64" i="9"/>
  <c r="Q28" i="9"/>
  <c r="BD30" i="9"/>
  <c r="AX26" i="9"/>
  <c r="AY26" i="9" s="1"/>
  <c r="AZ26" i="9" s="1"/>
  <c r="P79" i="9"/>
  <c r="AS25" i="9"/>
  <c r="AT25" i="9" s="1"/>
  <c r="T64" i="9"/>
  <c r="BE18" i="9"/>
  <c r="K34" i="9"/>
  <c r="L34" i="9" s="1"/>
  <c r="BH33" i="9"/>
  <c r="BH35" i="9" s="1"/>
  <c r="N33" i="9"/>
  <c r="N35" i="9" s="1"/>
  <c r="AK51" i="9"/>
  <c r="Q26" i="9"/>
  <c r="BD7" i="9"/>
  <c r="BE7" i="9" s="1"/>
  <c r="AK34" i="9"/>
  <c r="V43" i="9"/>
  <c r="BH76" i="9"/>
  <c r="AK46" i="9"/>
  <c r="BJ28" i="9"/>
  <c r="AY54" i="9"/>
  <c r="AZ54" i="9" s="1"/>
  <c r="V20" i="9"/>
  <c r="BD69" i="9"/>
  <c r="BE69" i="9" s="1"/>
  <c r="L82" i="9"/>
  <c r="AM76" i="9"/>
  <c r="AW64" i="9"/>
  <c r="AA21" i="9"/>
  <c r="BD11" i="9"/>
  <c r="BE11" i="9" s="1"/>
  <c r="AK54" i="9"/>
  <c r="AK23" i="9"/>
  <c r="BJ70" i="9"/>
  <c r="AN46" i="9"/>
  <c r="AO46" i="9" s="1"/>
  <c r="AG39" i="2"/>
  <c r="AG40" i="2"/>
  <c r="AK40" i="2"/>
  <c r="AK39" i="2"/>
  <c r="BE76" i="8"/>
  <c r="BA40" i="6"/>
  <c r="BA41" i="6"/>
  <c r="AX39" i="2"/>
  <c r="AX40" i="2"/>
  <c r="AV40" i="6"/>
  <c r="AV41" i="6"/>
  <c r="AT39" i="2"/>
  <c r="AT40" i="2"/>
  <c r="AZ39" i="2"/>
  <c r="AZ40" i="2"/>
  <c r="X41" i="6"/>
  <c r="X40" i="6"/>
  <c r="AT62" i="8"/>
  <c r="AU41" i="6"/>
  <c r="AU40" i="6"/>
  <c r="AD39" i="2"/>
  <c r="AD40" i="2"/>
  <c r="AN40" i="2"/>
  <c r="AN39" i="2"/>
  <c r="AE40" i="2"/>
  <c r="AE39" i="2"/>
  <c r="AL39" i="2"/>
  <c r="AL40" i="2"/>
  <c r="AI40" i="6"/>
  <c r="AI41" i="6"/>
  <c r="AL41" i="6"/>
  <c r="AL40" i="6"/>
  <c r="BB39" i="2"/>
  <c r="BB40" i="2"/>
  <c r="AO41" i="6"/>
  <c r="AO40" i="6"/>
  <c r="AC41" i="6"/>
  <c r="AC40" i="6"/>
  <c r="W154" i="10"/>
  <c r="W33" i="2"/>
  <c r="W36" i="2" s="1"/>
  <c r="AI30" i="8"/>
  <c r="AI32" i="8" s="1"/>
  <c r="AK68" i="9"/>
  <c r="BD40" i="6"/>
  <c r="BD41" i="6"/>
  <c r="AU11" i="8"/>
  <c r="BA48" i="7"/>
  <c r="AZ54" i="7"/>
  <c r="AT44" i="9"/>
  <c r="AU44" i="9" s="1"/>
  <c r="BC28" i="9"/>
  <c r="BB33" i="9"/>
  <c r="BB35" i="9" s="1"/>
  <c r="BC62" i="8"/>
  <c r="BD50" i="8"/>
  <c r="BE50" i="8"/>
  <c r="BI45" i="9"/>
  <c r="BJ45" i="9"/>
  <c r="AR40" i="2"/>
  <c r="AR39" i="2"/>
  <c r="E23" i="8"/>
  <c r="E30" i="8" s="1"/>
  <c r="E32" i="8" s="1"/>
  <c r="AT74" i="9"/>
  <c r="AU74" i="9" s="1"/>
  <c r="AS76" i="9"/>
  <c r="BK63" i="7"/>
  <c r="BJ65" i="7"/>
  <c r="K51" i="9"/>
  <c r="L51" i="9" s="1"/>
  <c r="Q40" i="8"/>
  <c r="AN41" i="6"/>
  <c r="BG19" i="2"/>
  <c r="BG22" i="2"/>
  <c r="BG30" i="2" s="1"/>
  <c r="AX7" i="9"/>
  <c r="AW33" i="9"/>
  <c r="AW35" i="9" s="1"/>
  <c r="AJ76" i="8"/>
  <c r="AF62" i="8"/>
  <c r="AF77" i="8" s="1"/>
  <c r="AJ42" i="8"/>
  <c r="AK42" i="8" s="1"/>
  <c r="AN27" i="8"/>
  <c r="AO27" i="8" s="1"/>
  <c r="AP27" i="8"/>
  <c r="AM30" i="8"/>
  <c r="AM32" i="8" s="1"/>
  <c r="AF39" i="2"/>
  <c r="AF40" i="2"/>
  <c r="AI77" i="8"/>
  <c r="BC64" i="9"/>
  <c r="BD34" i="5"/>
  <c r="BE34" i="5" s="1"/>
  <c r="BE19" i="5"/>
  <c r="AP56" i="9"/>
  <c r="K55" i="9"/>
  <c r="L55" i="9" s="1"/>
  <c r="I64" i="9"/>
  <c r="AT13" i="9"/>
  <c r="AU13" i="9" s="1"/>
  <c r="Q12" i="9"/>
  <c r="BH64" i="9"/>
  <c r="K74" i="8"/>
  <c r="L66" i="8"/>
  <c r="L74" i="8" s="1"/>
  <c r="AK18" i="9"/>
  <c r="BJ55" i="5"/>
  <c r="AU19" i="6"/>
  <c r="AS61" i="9"/>
  <c r="AT61" i="9" s="1"/>
  <c r="K27" i="9"/>
  <c r="L27" i="9" s="1"/>
  <c r="AT55" i="8"/>
  <c r="AU55" i="8"/>
  <c r="AX62" i="8"/>
  <c r="AZ48" i="8"/>
  <c r="AF41" i="6"/>
  <c r="AF40" i="6"/>
  <c r="AO67" i="9"/>
  <c r="AO76" i="9" s="1"/>
  <c r="AN76" i="9"/>
  <c r="AP61" i="9"/>
  <c r="AR33" i="9"/>
  <c r="AR35" i="9" s="1"/>
  <c r="AR79" i="9" s="1"/>
  <c r="AS31" i="9"/>
  <c r="AI30" i="9"/>
  <c r="AJ30" i="9" s="1"/>
  <c r="AH33" i="9"/>
  <c r="AH35" i="9" s="1"/>
  <c r="AH79" i="9" s="1"/>
  <c r="AX25" i="9"/>
  <c r="AY25" i="9" s="1"/>
  <c r="AZ25" i="9" s="1"/>
  <c r="AD40" i="6"/>
  <c r="BI41" i="6"/>
  <c r="BI40" i="6"/>
  <c r="AO31" i="9"/>
  <c r="AP31" i="9"/>
  <c r="O51" i="9"/>
  <c r="O64" i="9" s="1"/>
  <c r="AR77" i="8"/>
  <c r="AB40" i="6"/>
  <c r="AB41" i="6"/>
  <c r="AJ69" i="9"/>
  <c r="AJ76" i="9" s="1"/>
  <c r="AI76" i="9"/>
  <c r="V30" i="2"/>
  <c r="V33" i="2" s="1"/>
  <c r="V36" i="2" s="1"/>
  <c r="G66" i="8"/>
  <c r="G74" i="8" s="1"/>
  <c r="AA46" i="9"/>
  <c r="N64" i="9"/>
  <c r="AV40" i="2"/>
  <c r="AV39" i="2"/>
  <c r="BF41" i="6"/>
  <c r="BF40" i="6"/>
  <c r="Z39" i="2"/>
  <c r="Z40" i="2"/>
  <c r="AU45" i="9"/>
  <c r="AP41" i="6"/>
  <c r="BE9" i="8"/>
  <c r="BD9" i="8"/>
  <c r="AJ38" i="9"/>
  <c r="Z74" i="8"/>
  <c r="AK19" i="8"/>
  <c r="Z41" i="9"/>
  <c r="Z64" i="9" s="1"/>
  <c r="K40" i="9"/>
  <c r="BA39" i="2"/>
  <c r="Y64" i="9"/>
  <c r="AN30" i="8"/>
  <c r="AN32" i="8" s="1"/>
  <c r="AN77" i="8" s="1"/>
  <c r="AT23" i="9"/>
  <c r="AU23" i="9" s="1"/>
  <c r="AN18" i="9"/>
  <c r="AO18" i="9" s="1"/>
  <c r="BE49" i="8"/>
  <c r="Z23" i="9"/>
  <c r="AA23" i="9" s="1"/>
  <c r="K260" i="11"/>
  <c r="AA58" i="9"/>
  <c r="I152" i="10"/>
  <c r="AK67" i="9"/>
  <c r="AO28" i="8"/>
  <c r="AP28" i="8"/>
  <c r="AP45" i="9"/>
  <c r="AU43" i="9"/>
  <c r="AK10" i="9"/>
  <c r="V69" i="9"/>
  <c r="Z31" i="9"/>
  <c r="AA31" i="9" s="1"/>
  <c r="AV48" i="7"/>
  <c r="AU54" i="7"/>
  <c r="AO11" i="9"/>
  <c r="AP11" i="9" s="1"/>
  <c r="AR41" i="6"/>
  <c r="L19" i="2"/>
  <c r="BI69" i="8"/>
  <c r="BI74" i="8" s="1"/>
  <c r="BJ74" i="8" s="1"/>
  <c r="BJ69" i="8"/>
  <c r="AA25" i="9"/>
  <c r="AO51" i="8"/>
  <c r="AP51" i="8"/>
  <c r="AJ49" i="8"/>
  <c r="AK49" i="8" s="1"/>
  <c r="AX32" i="8"/>
  <c r="BE11" i="8"/>
  <c r="AU32" i="7"/>
  <c r="AV32" i="7" s="1"/>
  <c r="K57" i="11"/>
  <c r="E154" i="10"/>
  <c r="H152" i="10"/>
  <c r="AT57" i="9"/>
  <c r="AU57" i="9" s="1"/>
  <c r="AO54" i="9"/>
  <c r="Q31" i="9"/>
  <c r="U25" i="9"/>
  <c r="U33" i="9" s="1"/>
  <c r="C19" i="6"/>
  <c r="BH40" i="2"/>
  <c r="K29" i="11"/>
  <c r="H154" i="10"/>
  <c r="Y19" i="6"/>
  <c r="O152" i="10"/>
  <c r="R149" i="10"/>
  <c r="S70" i="10"/>
  <c r="AZ60" i="9"/>
  <c r="AY21" i="9"/>
  <c r="AZ21" i="9" s="1"/>
  <c r="Y50" i="8"/>
  <c r="J17" i="8"/>
  <c r="K17" i="8" s="1"/>
  <c r="AS67" i="5"/>
  <c r="D66" i="5"/>
  <c r="D67" i="5"/>
  <c r="BI13" i="8"/>
  <c r="BI30" i="8" s="1"/>
  <c r="BI32" i="8" s="1"/>
  <c r="AJ12" i="9"/>
  <c r="AK12" i="9" s="1"/>
  <c r="AA11" i="9"/>
  <c r="BF22" i="2"/>
  <c r="BF30" i="2" s="1"/>
  <c r="BF19" i="2"/>
  <c r="BF250" i="10"/>
  <c r="AS19" i="6"/>
  <c r="AS30" i="6"/>
  <c r="AS33" i="6" s="1"/>
  <c r="AS37" i="6" s="1"/>
  <c r="AE19" i="6"/>
  <c r="AE30" i="6"/>
  <c r="AE33" i="6" s="1"/>
  <c r="AE37" i="6" s="1"/>
  <c r="U30" i="6"/>
  <c r="U33" i="6" s="1"/>
  <c r="U37" i="6" s="1"/>
  <c r="U19" i="6"/>
  <c r="AA78" i="9"/>
  <c r="AZ38" i="9"/>
  <c r="J7" i="9"/>
  <c r="J33" i="9" s="1"/>
  <c r="AA18" i="8"/>
  <c r="AZ31" i="8"/>
  <c r="BJ51" i="8"/>
  <c r="AK9" i="8"/>
  <c r="AT19" i="6"/>
  <c r="AU60" i="9"/>
  <c r="AG79" i="9"/>
  <c r="AT30" i="9"/>
  <c r="AU30" i="9" s="1"/>
  <c r="Y12" i="9"/>
  <c r="BB30" i="8"/>
  <c r="BB32" i="8" s="1"/>
  <c r="BB77" i="8" s="1"/>
  <c r="AT40" i="6"/>
  <c r="AT41" i="6"/>
  <c r="AT67" i="9"/>
  <c r="AU67" i="9" s="1"/>
  <c r="AO21" i="9"/>
  <c r="AP21" i="9" s="1"/>
  <c r="O56" i="8"/>
  <c r="O62" i="8" s="1"/>
  <c r="BC19" i="8"/>
  <c r="BD19" i="8"/>
  <c r="AO13" i="8"/>
  <c r="AO30" i="8" s="1"/>
  <c r="AS12" i="8"/>
  <c r="AK15" i="6"/>
  <c r="AW15" i="2"/>
  <c r="AP74" i="9"/>
  <c r="Q54" i="9"/>
  <c r="V46" i="9"/>
  <c r="AY41" i="9"/>
  <c r="V34" i="9"/>
  <c r="AA30" i="9"/>
  <c r="V26" i="9"/>
  <c r="AP25" i="9"/>
  <c r="AU7" i="9"/>
  <c r="AY71" i="8"/>
  <c r="AZ71" i="8"/>
  <c r="V67" i="8"/>
  <c r="AK27" i="8"/>
  <c r="AY32" i="7"/>
  <c r="V78" i="9"/>
  <c r="V50" i="9"/>
  <c r="K25" i="9"/>
  <c r="L25" i="9" s="1"/>
  <c r="V23" i="9"/>
  <c r="AX76" i="8"/>
  <c r="AY76" i="8" s="1"/>
  <c r="AA36" i="8"/>
  <c r="AY11" i="8"/>
  <c r="AZ11" i="8" s="1"/>
  <c r="AM66" i="7"/>
  <c r="E66" i="7"/>
  <c r="BE30" i="9"/>
  <c r="BC54" i="9"/>
  <c r="BD54" i="9" s="1"/>
  <c r="BF67" i="5"/>
  <c r="AP72" i="8"/>
  <c r="AA48" i="8"/>
  <c r="Z42" i="8"/>
  <c r="AA42" i="8" s="1"/>
  <c r="AA27" i="8"/>
  <c r="J25" i="8"/>
  <c r="K25" i="8" s="1"/>
  <c r="AQ67" i="5"/>
  <c r="BD34" i="9"/>
  <c r="BE34" i="9" s="1"/>
  <c r="G40" i="8"/>
  <c r="BC12" i="9"/>
  <c r="BE35" i="8"/>
  <c r="AZ45" i="9"/>
  <c r="AY73" i="9"/>
  <c r="AZ73" i="9" s="1"/>
  <c r="AY44" i="9"/>
  <c r="AZ44" i="9" s="1"/>
  <c r="Q11" i="9"/>
  <c r="AO7" i="9"/>
  <c r="AP7" i="9"/>
  <c r="AK68" i="8"/>
  <c r="Q51" i="8"/>
  <c r="V37" i="8"/>
  <c r="AU23" i="8"/>
  <c r="AJ66" i="7"/>
  <c r="N67" i="5"/>
  <c r="N66" i="5"/>
  <c r="BB67" i="5"/>
  <c r="AR19" i="2"/>
  <c r="AA42" i="9"/>
  <c r="AK28" i="9"/>
  <c r="AJ72" i="8"/>
  <c r="AJ74" i="8" s="1"/>
  <c r="AK72" i="8"/>
  <c r="L57" i="8"/>
  <c r="AP38" i="8"/>
  <c r="M67" i="5"/>
  <c r="AM15" i="2"/>
  <c r="BD72" i="9"/>
  <c r="Y19" i="8"/>
  <c r="BD23" i="9"/>
  <c r="BE23" i="9" s="1"/>
  <c r="AA60" i="9"/>
  <c r="K46" i="9"/>
  <c r="L46" i="9" s="1"/>
  <c r="AK26" i="9"/>
  <c r="K26" i="9"/>
  <c r="L26" i="9" s="1"/>
  <c r="AY18" i="9"/>
  <c r="AZ18" i="9" s="1"/>
  <c r="E57" i="8"/>
  <c r="F57" i="8" s="1"/>
  <c r="AP46" i="8"/>
  <c r="L28" i="8"/>
  <c r="Y21" i="8"/>
  <c r="Z21" i="8" s="1"/>
  <c r="AJ17" i="8"/>
  <c r="AJ30" i="8" s="1"/>
  <c r="AJ32" i="8" s="1"/>
  <c r="J14" i="8"/>
  <c r="V9" i="8"/>
  <c r="J32" i="7"/>
  <c r="Q34" i="5"/>
  <c r="V55" i="9"/>
  <c r="AP50" i="9"/>
  <c r="F42" i="8"/>
  <c r="G42" i="8" s="1"/>
  <c r="K37" i="8"/>
  <c r="AZ35" i="8"/>
  <c r="X67" i="5"/>
  <c r="AK47" i="5"/>
  <c r="AK49" i="5" s="1"/>
  <c r="AF34" i="5"/>
  <c r="AV34" i="5"/>
  <c r="BE37" i="8"/>
  <c r="BD61" i="9"/>
  <c r="BE61" i="9" s="1"/>
  <c r="AZ31" i="9"/>
  <c r="AA47" i="9"/>
  <c r="AA28" i="9"/>
  <c r="AA76" i="8"/>
  <c r="U72" i="8"/>
  <c r="U74" i="8" s="1"/>
  <c r="V74" i="8" s="1"/>
  <c r="AU48" i="8"/>
  <c r="AZ12" i="8"/>
  <c r="BC67" i="5"/>
  <c r="AU26" i="9"/>
  <c r="AA45" i="9"/>
  <c r="AY74" i="9"/>
  <c r="AZ74" i="9" s="1"/>
  <c r="AA70" i="9"/>
  <c r="Q55" i="9"/>
  <c r="AK50" i="9"/>
  <c r="V38" i="9"/>
  <c r="AY28" i="9"/>
  <c r="AZ28" i="9" s="1"/>
  <c r="Q21" i="8"/>
  <c r="Q30" i="8" s="1"/>
  <c r="Q32" i="8" s="1"/>
  <c r="U17" i="8"/>
  <c r="U30" i="8" s="1"/>
  <c r="U32" i="8" s="1"/>
  <c r="AH67" i="5"/>
  <c r="M34" i="5"/>
  <c r="BJ65" i="8"/>
  <c r="AY42" i="8"/>
  <c r="AZ42" i="8" s="1"/>
  <c r="AO31" i="8"/>
  <c r="AP31" i="8" s="1"/>
  <c r="AT27" i="8"/>
  <c r="AU27" i="8"/>
  <c r="F7" i="8"/>
  <c r="BD10" i="8"/>
  <c r="BE10" i="8" s="1"/>
  <c r="BE13" i="8"/>
  <c r="AY37" i="8"/>
  <c r="AZ37" i="8" s="1"/>
  <c r="AP48" i="8"/>
  <c r="Q44" i="8"/>
  <c r="G31" i="8"/>
  <c r="AY24" i="8"/>
  <c r="AZ24" i="8" s="1"/>
  <c r="AK21" i="8"/>
  <c r="AU13" i="8"/>
  <c r="AZ7" i="8"/>
  <c r="BJ39" i="8"/>
  <c r="AU47" i="8"/>
  <c r="AU62" i="8" s="1"/>
  <c r="L44" i="8"/>
  <c r="AU52" i="8"/>
  <c r="S66" i="5"/>
  <c r="BD47" i="9"/>
  <c r="BE47" i="9" s="1"/>
  <c r="BJ41" i="8"/>
  <c r="BE55" i="8"/>
  <c r="BD78" i="9"/>
  <c r="AZ13" i="9" l="1"/>
  <c r="AN64" i="9"/>
  <c r="Y76" i="9"/>
  <c r="Z76" i="9"/>
  <c r="AA76" i="9" s="1"/>
  <c r="AD79" i="9"/>
  <c r="AF79" i="9" s="1"/>
  <c r="J64" i="9"/>
  <c r="K69" i="9"/>
  <c r="AY13" i="9"/>
  <c r="BI76" i="9"/>
  <c r="BJ76" i="9" s="1"/>
  <c r="AP46" i="9"/>
  <c r="BJ54" i="7"/>
  <c r="BK54" i="7" s="1"/>
  <c r="BK48" i="7"/>
  <c r="AL48" i="7"/>
  <c r="AK54" i="7"/>
  <c r="BE66" i="7"/>
  <c r="BF66" i="7" s="1"/>
  <c r="BF54" i="7"/>
  <c r="AA19" i="6"/>
  <c r="AA30" i="6"/>
  <c r="AA33" i="6" s="1"/>
  <c r="AA37" i="6" s="1"/>
  <c r="AH40" i="6"/>
  <c r="BJ33" i="6"/>
  <c r="BJ37" i="6" s="1"/>
  <c r="BJ32" i="6"/>
  <c r="AM41" i="6"/>
  <c r="AM40" i="6"/>
  <c r="BH41" i="6"/>
  <c r="BH40" i="6"/>
  <c r="AZ19" i="6"/>
  <c r="AZ30" i="6"/>
  <c r="AZ33" i="6" s="1"/>
  <c r="AZ37" i="6" s="1"/>
  <c r="AG19" i="6"/>
  <c r="AG30" i="6"/>
  <c r="AG33" i="6" s="1"/>
  <c r="AG37" i="6" s="1"/>
  <c r="BE40" i="6"/>
  <c r="BE41" i="6"/>
  <c r="BC19" i="6"/>
  <c r="BC30" i="6"/>
  <c r="BC33" i="6" s="1"/>
  <c r="BC37" i="6" s="1"/>
  <c r="AW41" i="6"/>
  <c r="AW40" i="6"/>
  <c r="AY30" i="6"/>
  <c r="AY33" i="6" s="1"/>
  <c r="AY37" i="6" s="1"/>
  <c r="AY19" i="6"/>
  <c r="M19" i="6"/>
  <c r="M30" i="6"/>
  <c r="M33" i="6" s="1"/>
  <c r="Q15" i="6"/>
  <c r="BK41" i="6"/>
  <c r="BK40" i="6"/>
  <c r="F77" i="8"/>
  <c r="F79" i="8" s="1"/>
  <c r="E79" i="8"/>
  <c r="BJ62" i="8"/>
  <c r="Q56" i="8"/>
  <c r="AK17" i="8"/>
  <c r="AK30" i="8" s="1"/>
  <c r="AK32" i="8" s="1"/>
  <c r="AO62" i="8"/>
  <c r="BD62" i="8"/>
  <c r="AP44" i="8"/>
  <c r="AP62" i="8" s="1"/>
  <c r="AM77" i="8"/>
  <c r="AS62" i="8"/>
  <c r="AS77" i="8" s="1"/>
  <c r="V62" i="8"/>
  <c r="AK62" i="8"/>
  <c r="K62" i="8"/>
  <c r="AY74" i="8"/>
  <c r="BJ13" i="8"/>
  <c r="BJ30" i="8" s="1"/>
  <c r="BJ32" i="8" s="1"/>
  <c r="G77" i="8"/>
  <c r="G79" i="8" s="1"/>
  <c r="L78" i="8" s="1"/>
  <c r="L79" i="8" s="1"/>
  <c r="Q78" i="8" s="1"/>
  <c r="Q79" i="8" s="1"/>
  <c r="AZ49" i="5"/>
  <c r="AY55" i="5"/>
  <c r="AB19" i="2"/>
  <c r="AB22" i="2"/>
  <c r="AB30" i="2" s="1"/>
  <c r="AB33" i="2" s="1"/>
  <c r="AB36" i="2" s="1"/>
  <c r="AC19" i="2"/>
  <c r="AC22" i="2"/>
  <c r="AC30" i="2" s="1"/>
  <c r="AC33" i="2" s="1"/>
  <c r="AC36" i="2" s="1"/>
  <c r="AP22" i="2"/>
  <c r="AP30" i="2" s="1"/>
  <c r="AP33" i="2" s="1"/>
  <c r="AP36" i="2" s="1"/>
  <c r="AP19" i="2"/>
  <c r="BD40" i="2"/>
  <c r="BD39" i="2"/>
  <c r="AU19" i="2"/>
  <c r="AU22" i="2"/>
  <c r="AU30" i="2" s="1"/>
  <c r="AU33" i="2" s="1"/>
  <c r="AU36" i="2" s="1"/>
  <c r="BK22" i="2"/>
  <c r="BK30" i="2" s="1"/>
  <c r="BK19" i="2"/>
  <c r="AI40" i="2"/>
  <c r="AI39" i="2"/>
  <c r="BE19" i="2"/>
  <c r="BE22" i="2"/>
  <c r="BE30" i="2" s="1"/>
  <c r="BE33" i="2" s="1"/>
  <c r="BE36" i="2" s="1"/>
  <c r="AO40" i="2"/>
  <c r="AO39" i="2"/>
  <c r="E30" i="2"/>
  <c r="G30" i="2" s="1"/>
  <c r="BI19" i="2"/>
  <c r="BI22" i="2"/>
  <c r="BI30" i="2" s="1"/>
  <c r="X22" i="2"/>
  <c r="X30" i="2" s="1"/>
  <c r="X19" i="2"/>
  <c r="L30" i="2"/>
  <c r="L33" i="2" s="1"/>
  <c r="L36" i="2" s="1"/>
  <c r="BO30" i="6"/>
  <c r="BO33" i="6" s="1"/>
  <c r="L19" i="6"/>
  <c r="L30" i="6"/>
  <c r="BE69" i="8"/>
  <c r="X79" i="9"/>
  <c r="G30" i="6"/>
  <c r="AL32" i="7"/>
  <c r="D37" i="6"/>
  <c r="G33" i="6"/>
  <c r="G37" i="6" s="1"/>
  <c r="AP74" i="8"/>
  <c r="BG79" i="9"/>
  <c r="BG82" i="9" s="1"/>
  <c r="BH80" i="9" s="1"/>
  <c r="AO64" i="9"/>
  <c r="K7" i="9"/>
  <c r="BH79" i="9"/>
  <c r="O33" i="9"/>
  <c r="O35" i="9" s="1"/>
  <c r="AP67" i="9"/>
  <c r="BD74" i="9"/>
  <c r="AA18" i="9"/>
  <c r="BE74" i="9"/>
  <c r="BI64" i="9"/>
  <c r="AO33" i="9"/>
  <c r="AO35" i="9" s="1"/>
  <c r="BB79" i="9"/>
  <c r="BI33" i="9"/>
  <c r="BI35" i="9" s="1"/>
  <c r="BI79" i="9" s="1"/>
  <c r="AN33" i="9"/>
  <c r="AN35" i="9" s="1"/>
  <c r="AN79" i="9" s="1"/>
  <c r="G33" i="9"/>
  <c r="AP76" i="9"/>
  <c r="BJ64" i="9"/>
  <c r="V64" i="9"/>
  <c r="N79" i="9"/>
  <c r="AT69" i="9"/>
  <c r="AT76" i="9" s="1"/>
  <c r="AU76" i="9" s="1"/>
  <c r="AU25" i="9"/>
  <c r="AP18" i="9"/>
  <c r="AP33" i="9" s="1"/>
  <c r="AP35" i="9" s="1"/>
  <c r="BK82" i="9"/>
  <c r="BL80" i="9" s="1"/>
  <c r="BL82" i="9" s="1"/>
  <c r="AW79" i="9"/>
  <c r="AM79" i="9"/>
  <c r="AJ64" i="9"/>
  <c r="BD76" i="9"/>
  <c r="BE76" i="9" s="1"/>
  <c r="BJ10" i="9"/>
  <c r="BJ33" i="9" s="1"/>
  <c r="BJ35" i="9" s="1"/>
  <c r="T79" i="9"/>
  <c r="T82" i="9" s="1"/>
  <c r="U80" i="9" s="1"/>
  <c r="AK69" i="9"/>
  <c r="Y40" i="6"/>
  <c r="Y41" i="6"/>
  <c r="AA41" i="6" s="1"/>
  <c r="AY76" i="9"/>
  <c r="AZ76" i="9" s="1"/>
  <c r="AX33" i="9"/>
  <c r="AX35" i="9" s="1"/>
  <c r="AX79" i="9" s="1"/>
  <c r="BE62" i="8"/>
  <c r="BE54" i="9"/>
  <c r="BE64" i="9" s="1"/>
  <c r="AT12" i="8"/>
  <c r="AS30" i="8"/>
  <c r="AS32" i="8" s="1"/>
  <c r="F23" i="8"/>
  <c r="G23" i="8" s="1"/>
  <c r="AI33" i="9"/>
  <c r="AI35" i="9" s="1"/>
  <c r="AI79" i="9" s="1"/>
  <c r="BG32" i="2"/>
  <c r="BG33" i="2"/>
  <c r="BG36" i="2" s="1"/>
  <c r="BL54" i="7"/>
  <c r="BC33" i="9"/>
  <c r="BC35" i="9" s="1"/>
  <c r="BC79" i="9" s="1"/>
  <c r="AP13" i="8"/>
  <c r="AP30" i="8" s="1"/>
  <c r="AP32" i="8" s="1"/>
  <c r="BD30" i="8"/>
  <c r="BD32" i="8" s="1"/>
  <c r="BD77" i="8" s="1"/>
  <c r="BJ77" i="8"/>
  <c r="Z19" i="8"/>
  <c r="Y30" i="8"/>
  <c r="Y32" i="8" s="1"/>
  <c r="BE19" i="8"/>
  <c r="BE30" i="8" s="1"/>
  <c r="BE32" i="8" s="1"/>
  <c r="BC30" i="8"/>
  <c r="BC32" i="8" s="1"/>
  <c r="BC77" i="8" s="1"/>
  <c r="K33" i="9"/>
  <c r="K35" i="9" s="1"/>
  <c r="L17" i="8"/>
  <c r="BD28" i="9"/>
  <c r="BE28" i="9" s="1"/>
  <c r="J30" i="8"/>
  <c r="J32" i="8" s="1"/>
  <c r="V72" i="8"/>
  <c r="AS40" i="6"/>
  <c r="AS41" i="6"/>
  <c r="U35" i="9"/>
  <c r="V33" i="9"/>
  <c r="AX77" i="8"/>
  <c r="BD64" i="9"/>
  <c r="AA40" i="6"/>
  <c r="AE40" i="6"/>
  <c r="AE41" i="6"/>
  <c r="AA21" i="8"/>
  <c r="AY30" i="8"/>
  <c r="AY32" i="8" s="1"/>
  <c r="V25" i="9"/>
  <c r="F62" i="8"/>
  <c r="K14" i="8"/>
  <c r="K30" i="8" s="1"/>
  <c r="K32" i="8" s="1"/>
  <c r="V17" i="8"/>
  <c r="V30" i="8" s="1"/>
  <c r="V32" i="8" s="1"/>
  <c r="BE72" i="9"/>
  <c r="AA62" i="8"/>
  <c r="Y62" i="8"/>
  <c r="Z50" i="8"/>
  <c r="AA50" i="8" s="1"/>
  <c r="K64" i="9"/>
  <c r="AS64" i="9"/>
  <c r="AO32" i="8"/>
  <c r="AO77" i="8" s="1"/>
  <c r="BE78" i="9"/>
  <c r="AZ62" i="8"/>
  <c r="AM22" i="2"/>
  <c r="AM30" i="2" s="1"/>
  <c r="AM33" i="2" s="1"/>
  <c r="AM36" i="2" s="1"/>
  <c r="AM19" i="2"/>
  <c r="L25" i="8"/>
  <c r="AP54" i="9"/>
  <c r="M152" i="10"/>
  <c r="I154" i="10"/>
  <c r="M154" i="10" s="1"/>
  <c r="L40" i="9"/>
  <c r="L64" i="9" s="1"/>
  <c r="AT64" i="9"/>
  <c r="L37" i="8"/>
  <c r="L62" i="8" s="1"/>
  <c r="AZ76" i="8"/>
  <c r="AZ41" i="9"/>
  <c r="AZ64" i="9" s="1"/>
  <c r="AY64" i="9"/>
  <c r="BF33" i="2"/>
  <c r="BF36" i="2" s="1"/>
  <c r="AA41" i="9"/>
  <c r="AA64" i="9" s="1"/>
  <c r="AK30" i="9"/>
  <c r="AK33" i="9" s="1"/>
  <c r="AK35" i="9" s="1"/>
  <c r="AJ62" i="8"/>
  <c r="AJ77" i="8" s="1"/>
  <c r="BA54" i="7"/>
  <c r="AZ66" i="7"/>
  <c r="BA66" i="7" s="1"/>
  <c r="AK30" i="6"/>
  <c r="AK33" i="6" s="1"/>
  <c r="AK37" i="6" s="1"/>
  <c r="AK19" i="6"/>
  <c r="AZ30" i="8"/>
  <c r="AZ32" i="8" s="1"/>
  <c r="AZ74" i="8"/>
  <c r="Q62" i="8"/>
  <c r="E33" i="2"/>
  <c r="Q51" i="9"/>
  <c r="Q64" i="9" s="1"/>
  <c r="AT31" i="9"/>
  <c r="AT33" i="9" s="1"/>
  <c r="AT35" i="9" s="1"/>
  <c r="AS33" i="9"/>
  <c r="AS35" i="9" s="1"/>
  <c r="AS79" i="9" s="1"/>
  <c r="AU61" i="9"/>
  <c r="AU64" i="9" s="1"/>
  <c r="BD12" i="9"/>
  <c r="AK76" i="9"/>
  <c r="AY62" i="8"/>
  <c r="Z62" i="8"/>
  <c r="L7" i="9"/>
  <c r="AJ33" i="9"/>
  <c r="AJ35" i="9" s="1"/>
  <c r="AA74" i="8"/>
  <c r="V33" i="6"/>
  <c r="V37" i="6" s="1"/>
  <c r="AK76" i="8"/>
  <c r="G57" i="8"/>
  <c r="G62" i="8" s="1"/>
  <c r="E62" i="8"/>
  <c r="G7" i="8"/>
  <c r="G30" i="8" s="1"/>
  <c r="G32" i="8" s="1"/>
  <c r="F30" i="8"/>
  <c r="F32" i="8" s="1"/>
  <c r="AK74" i="8"/>
  <c r="AW22" i="2"/>
  <c r="AW30" i="2" s="1"/>
  <c r="AW33" i="2" s="1"/>
  <c r="AW36" i="2" s="1"/>
  <c r="AW19" i="2"/>
  <c r="Z12" i="9"/>
  <c r="Y33" i="9"/>
  <c r="J35" i="9"/>
  <c r="R152" i="10"/>
  <c r="O154" i="10"/>
  <c r="R154" i="10" s="1"/>
  <c r="AV54" i="7"/>
  <c r="AU66" i="7"/>
  <c r="AV66" i="7" s="1"/>
  <c r="AK38" i="9"/>
  <c r="AK64" i="9" s="1"/>
  <c r="AY7" i="9"/>
  <c r="BK65" i="7"/>
  <c r="BJ66" i="7"/>
  <c r="BK66" i="7" s="1"/>
  <c r="L69" i="9" l="1"/>
  <c r="K76" i="9"/>
  <c r="L76" i="9" s="1"/>
  <c r="AJ79" i="9"/>
  <c r="AY33" i="9"/>
  <c r="AY35" i="9" s="1"/>
  <c r="Q33" i="9"/>
  <c r="BJ79" i="9"/>
  <c r="AP64" i="9"/>
  <c r="AK66" i="7"/>
  <c r="AL66" i="7" s="1"/>
  <c r="AL54" i="7"/>
  <c r="AZ40" i="6"/>
  <c r="AZ41" i="6"/>
  <c r="AY40" i="6"/>
  <c r="AY41" i="6"/>
  <c r="Q30" i="6"/>
  <c r="Q19" i="6"/>
  <c r="BC41" i="6"/>
  <c r="BC40" i="6"/>
  <c r="BJ41" i="6"/>
  <c r="BJ40" i="6"/>
  <c r="M37" i="6"/>
  <c r="Q33" i="6"/>
  <c r="Q37" i="6" s="1"/>
  <c r="AG40" i="6"/>
  <c r="AG41" i="6"/>
  <c r="AK77" i="8"/>
  <c r="Y77" i="8"/>
  <c r="Y79" i="8" s="1"/>
  <c r="Z78" i="8" s="1"/>
  <c r="AP77" i="8"/>
  <c r="AZ55" i="5"/>
  <c r="AY67" i="5"/>
  <c r="AZ67" i="5" s="1"/>
  <c r="BO30" i="2"/>
  <c r="BK33" i="2"/>
  <c r="BK36" i="2" s="1"/>
  <c r="BK32" i="2"/>
  <c r="BI33" i="2"/>
  <c r="BI36" i="2" s="1"/>
  <c r="BI32" i="2"/>
  <c r="AC39" i="2"/>
  <c r="AC40" i="2"/>
  <c r="AP39" i="2"/>
  <c r="AP40" i="2"/>
  <c r="BJ30" i="2"/>
  <c r="BJ32" i="2" s="1"/>
  <c r="AU40" i="2"/>
  <c r="AU39" i="2"/>
  <c r="AB40" i="2"/>
  <c r="AB39" i="2"/>
  <c r="X33" i="2"/>
  <c r="AA30" i="2"/>
  <c r="AA33" i="2" s="1"/>
  <c r="AA36" i="2" s="1"/>
  <c r="BE40" i="2"/>
  <c r="BE39" i="2"/>
  <c r="BO37" i="6"/>
  <c r="BO41" i="6" s="1"/>
  <c r="BO32" i="6"/>
  <c r="AY77" i="8"/>
  <c r="AO79" i="9"/>
  <c r="BH82" i="9"/>
  <c r="BI80" i="9" s="1"/>
  <c r="BI82" i="9" s="1"/>
  <c r="AU69" i="9"/>
  <c r="AT79" i="9"/>
  <c r="AY79" i="9"/>
  <c r="AZ79" i="9" s="1"/>
  <c r="AU31" i="9"/>
  <c r="AU33" i="9" s="1"/>
  <c r="AU35" i="9" s="1"/>
  <c r="AJ79" i="8"/>
  <c r="AL78" i="8" s="1"/>
  <c r="AL79" i="8" s="1"/>
  <c r="AM78" i="8" s="1"/>
  <c r="AM79" i="8" s="1"/>
  <c r="AN78" i="8" s="1"/>
  <c r="AN79" i="8" s="1"/>
  <c r="AO78" i="8" s="1"/>
  <c r="AA77" i="8"/>
  <c r="AA79" i="8" s="1"/>
  <c r="AF78" i="8" s="1"/>
  <c r="AF79" i="8" s="1"/>
  <c r="AK78" i="8" s="1"/>
  <c r="AK79" i="8" s="1"/>
  <c r="AP78" i="8" s="1"/>
  <c r="AP79" i="8" s="1"/>
  <c r="AO79" i="8"/>
  <c r="BG40" i="2"/>
  <c r="BG39" i="2"/>
  <c r="AM39" i="2"/>
  <c r="AM40" i="2"/>
  <c r="Z30" i="8"/>
  <c r="Z32" i="8" s="1"/>
  <c r="Z77" i="8" s="1"/>
  <c r="Z79" i="8" s="1"/>
  <c r="AB78" i="8" s="1"/>
  <c r="AB79" i="8" s="1"/>
  <c r="AC78" i="8" s="1"/>
  <c r="AC79" i="8" s="1"/>
  <c r="AD78" i="8" s="1"/>
  <c r="AD79" i="8" s="1"/>
  <c r="AE78" i="8" s="1"/>
  <c r="AE79" i="8" s="1"/>
  <c r="AG78" i="8" s="1"/>
  <c r="AG79" i="8" s="1"/>
  <c r="AH78" i="8" s="1"/>
  <c r="AH79" i="8" s="1"/>
  <c r="AI78" i="8" s="1"/>
  <c r="AI79" i="8" s="1"/>
  <c r="AJ78" i="8" s="1"/>
  <c r="AA19" i="8"/>
  <c r="AA30" i="8" s="1"/>
  <c r="AA32" i="8" s="1"/>
  <c r="BL66" i="7"/>
  <c r="BD33" i="9"/>
  <c r="BD35" i="9" s="1"/>
  <c r="BD79" i="9" s="1"/>
  <c r="BE12" i="9"/>
  <c r="BE33" i="9" s="1"/>
  <c r="BE35" i="9" s="1"/>
  <c r="O79" i="9"/>
  <c r="Q79" i="9" s="1"/>
  <c r="Q82" i="9" s="1"/>
  <c r="V80" i="9" s="1"/>
  <c r="Q35" i="9"/>
  <c r="AZ7" i="9"/>
  <c r="AZ33" i="9" s="1"/>
  <c r="AZ35" i="9" s="1"/>
  <c r="AK79" i="9"/>
  <c r="E36" i="2"/>
  <c r="G36" i="2" s="1"/>
  <c r="G33" i="2"/>
  <c r="BJ33" i="2"/>
  <c r="BJ36" i="2" s="1"/>
  <c r="L33" i="9"/>
  <c r="AP79" i="9"/>
  <c r="AT30" i="8"/>
  <c r="AT32" i="8" s="1"/>
  <c r="AT77" i="8" s="1"/>
  <c r="AU12" i="8"/>
  <c r="AU30" i="8" s="1"/>
  <c r="AU32" i="8" s="1"/>
  <c r="AU77" i="8" s="1"/>
  <c r="AW39" i="2"/>
  <c r="AW40" i="2"/>
  <c r="BF40" i="2"/>
  <c r="BF39" i="2"/>
  <c r="U79" i="9"/>
  <c r="V35" i="9"/>
  <c r="AZ77" i="8"/>
  <c r="Y35" i="9"/>
  <c r="Z33" i="9"/>
  <c r="Z35" i="9" s="1"/>
  <c r="Z79" i="9" s="1"/>
  <c r="AA12" i="9"/>
  <c r="L14" i="8"/>
  <c r="L30" i="8" s="1"/>
  <c r="L32" i="8" s="1"/>
  <c r="L35" i="9"/>
  <c r="AK41" i="6"/>
  <c r="AK40" i="6"/>
  <c r="AU79" i="9"/>
  <c r="BE77" i="8"/>
  <c r="AA40" i="2" l="1"/>
  <c r="AA39" i="2"/>
  <c r="BI40" i="2"/>
  <c r="BI39" i="2"/>
  <c r="X39" i="2"/>
  <c r="X36" i="2"/>
  <c r="X40" i="2" s="1"/>
  <c r="BK39" i="2"/>
  <c r="BK40" i="2"/>
  <c r="BO33" i="2"/>
  <c r="BO36" i="2" s="1"/>
  <c r="BO32" i="2"/>
  <c r="BO40" i="6"/>
  <c r="AQ78" i="8"/>
  <c r="AQ79" i="8" s="1"/>
  <c r="AR78" i="8" s="1"/>
  <c r="AR79" i="8" s="1"/>
  <c r="AS78" i="8" s="1"/>
  <c r="AS79" i="8" s="1"/>
  <c r="AT78" i="8" s="1"/>
  <c r="AT79" i="8" s="1"/>
  <c r="AU78" i="8"/>
  <c r="U82" i="9"/>
  <c r="W80" i="9" s="1"/>
  <c r="W82" i="9" s="1"/>
  <c r="X80" i="9" s="1"/>
  <c r="X82" i="9" s="1"/>
  <c r="Y80" i="9" s="1"/>
  <c r="V79" i="9"/>
  <c r="V82" i="9" s="1"/>
  <c r="AA80" i="9" s="1"/>
  <c r="Y79" i="9"/>
  <c r="AA35" i="9"/>
  <c r="BE79" i="9"/>
  <c r="AU79" i="8"/>
  <c r="AA33" i="9"/>
  <c r="BJ40" i="2"/>
  <c r="BJ39" i="2"/>
  <c r="BO40" i="2" l="1"/>
  <c r="BO39" i="2"/>
  <c r="AZ78" i="8"/>
  <c r="AZ79" i="8" s="1"/>
  <c r="AV78" i="8"/>
  <c r="AV79" i="8" s="1"/>
  <c r="AW78" i="8" s="1"/>
  <c r="AW79" i="8" s="1"/>
  <c r="AX78" i="8" s="1"/>
  <c r="AX79" i="8" s="1"/>
  <c r="AY78" i="8" s="1"/>
  <c r="AY79" i="8" s="1"/>
  <c r="AA79" i="9"/>
  <c r="AA82" i="9" s="1"/>
  <c r="AF80" i="9" s="1"/>
  <c r="AF82" i="9" s="1"/>
  <c r="AK80" i="9" s="1"/>
  <c r="AK82" i="9" s="1"/>
  <c r="AP80" i="9" s="1"/>
  <c r="AP82" i="9" s="1"/>
  <c r="Y82" i="9"/>
  <c r="Z80" i="9" s="1"/>
  <c r="Z82" i="9" s="1"/>
  <c r="AB80" i="9" s="1"/>
  <c r="AB82" i="9" s="1"/>
  <c r="AC80" i="9" s="1"/>
  <c r="AC82" i="9" s="1"/>
  <c r="AD80" i="9" s="1"/>
  <c r="AD82" i="9" s="1"/>
  <c r="AE80" i="9" s="1"/>
  <c r="AE82" i="9" s="1"/>
  <c r="AG80" i="9" s="1"/>
  <c r="AG82" i="9" s="1"/>
  <c r="AH80" i="9" s="1"/>
  <c r="AH82" i="9" s="1"/>
  <c r="AI80" i="9" s="1"/>
  <c r="AI82" i="9" s="1"/>
  <c r="AJ80" i="9" s="1"/>
  <c r="AJ82" i="9" s="1"/>
  <c r="AL80" i="9" s="1"/>
  <c r="AL82" i="9" s="1"/>
  <c r="AM80" i="9" s="1"/>
  <c r="AM82" i="9" s="1"/>
  <c r="AN80" i="9" s="1"/>
  <c r="AN82" i="9" s="1"/>
  <c r="AO80" i="9" s="1"/>
  <c r="AO82" i="9" s="1"/>
  <c r="AU80" i="9" l="1"/>
  <c r="AU82" i="9" s="1"/>
  <c r="AQ80" i="9"/>
  <c r="AQ82" i="9" s="1"/>
  <c r="AR80" i="9" s="1"/>
  <c r="AR82" i="9" s="1"/>
  <c r="AS80" i="9" s="1"/>
  <c r="AS82" i="9" s="1"/>
  <c r="AT80" i="9" s="1"/>
  <c r="AT82" i="9" s="1"/>
  <c r="BE78" i="8"/>
  <c r="BE79" i="8" s="1"/>
  <c r="BJ78" i="8" s="1"/>
  <c r="BJ79" i="8" s="1"/>
  <c r="BA78" i="8"/>
  <c r="BA79" i="8" s="1"/>
  <c r="BB78" i="8" s="1"/>
  <c r="BB79" i="8" s="1"/>
  <c r="BC78" i="8" s="1"/>
  <c r="BC79" i="8" s="1"/>
  <c r="BD78" i="8" s="1"/>
  <c r="BD79" i="8" s="1"/>
  <c r="BF78" i="8" s="1"/>
  <c r="BF79" i="8" s="1"/>
  <c r="BG78" i="8" s="1"/>
  <c r="BG79" i="8" s="1"/>
  <c r="BH78" i="8" s="1"/>
  <c r="BH79" i="8" s="1"/>
  <c r="BI78" i="8" s="1"/>
  <c r="BI79" i="8" s="1"/>
  <c r="AZ80" i="9" l="1"/>
  <c r="AZ82" i="9" s="1"/>
  <c r="AV80" i="9"/>
  <c r="AV82" i="9" s="1"/>
  <c r="AW80" i="9" s="1"/>
  <c r="AW82" i="9" s="1"/>
  <c r="AX80" i="9" s="1"/>
  <c r="AX82" i="9" s="1"/>
  <c r="AY80" i="9" s="1"/>
  <c r="AY82" i="9" s="1"/>
  <c r="BE80" i="9" l="1"/>
  <c r="BE82" i="9" s="1"/>
  <c r="BJ80" i="9" s="1"/>
  <c r="BJ82" i="9" s="1"/>
  <c r="BA80" i="9"/>
  <c r="BA82" i="9" s="1"/>
  <c r="BB80" i="9" s="1"/>
  <c r="BB82" i="9" s="1"/>
  <c r="BC80" i="9" s="1"/>
  <c r="BC82" i="9" s="1"/>
  <c r="BD80" i="9" s="1"/>
  <c r="BD82" i="9" s="1"/>
  <c r="BO32"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Sweta Sheth</author>
  </authors>
  <commentList>
    <comment ref="Y15" authorId="0" shapeId="0" xr:uid="{0913E275-BCF9-4AC3-B44D-22394CE864A8}">
      <text>
        <r>
          <rPr>
            <sz val="9"/>
            <color indexed="81"/>
            <rFont val="Tahoma"/>
            <family val="2"/>
          </rPr>
          <t>Sweta Sheth:
Includes additional depreciation and amortization expenses of `88 crore for Panaya and Skava</t>
        </r>
      </text>
    </comment>
    <comment ref="Y19" authorId="0" shapeId="0" xr:uid="{467924C1-C01A-4DE9-8F4B-B94808DBF0F9}">
      <text>
        <r>
          <rPr>
            <sz val="9"/>
            <color indexed="81"/>
            <rFont val="Tahoma"/>
            <family val="2"/>
          </rPr>
          <t>Sweta Sheth:
Includes additional depreciation and amortization impact of 0.4% due to reclassification of assets of Panaya and Skava from “Held for Sale”</t>
        </r>
      </text>
    </comment>
    <comment ref="U24" authorId="0" shapeId="0" xr:uid="{23037258-DD8A-499C-A60F-46A2AD3B37ED}">
      <text>
        <r>
          <rPr>
            <sz val="9"/>
            <color indexed="81"/>
            <rFont val="Tahoma"/>
            <family val="2"/>
          </rPr>
          <t>Sweta Sheth:
Includes an impairment loss of `118 crore with respect to Panaya</t>
        </r>
      </text>
    </comment>
    <comment ref="V24" authorId="0" shapeId="0" xr:uid="{49C77219-9A73-4973-9057-EEF6E7A97D56}">
      <text>
        <r>
          <rPr>
            <sz val="9"/>
            <color indexed="81"/>
            <rFont val="Tahoma"/>
            <family val="2"/>
          </rPr>
          <t>Sweta Sheth:
Includes an impairment loss of `118 crore with respect to Panaya</t>
        </r>
      </text>
    </comment>
    <comment ref="BD24" authorId="1" shapeId="0" xr:uid="{C804CFB3-31AF-45D7-B008-1423580F6722}">
      <text>
        <r>
          <rPr>
            <b/>
            <sz val="9"/>
            <color indexed="81"/>
            <rFont val="Tahoma"/>
            <family val="2"/>
          </rPr>
          <t>Sweta Sheth:</t>
        </r>
        <r>
          <rPr>
            <sz val="9"/>
            <color indexed="81"/>
            <rFont val="Tahoma"/>
            <family val="2"/>
          </rPr>
          <t xml:space="preserve">
Includes interest income of </t>
        </r>
        <r>
          <rPr>
            <sz val="9"/>
            <color indexed="81"/>
            <rFont val="Rupee Foradian"/>
            <family val="2"/>
          </rPr>
          <t>`</t>
        </r>
        <r>
          <rPr>
            <sz val="9"/>
            <color indexed="81"/>
            <rFont val="Tahoma"/>
            <family val="2"/>
          </rPr>
          <t>327 crores on account of orders received under Income Tax Act, 1961 for certain assessement years</t>
        </r>
      </text>
    </comment>
    <comment ref="BE24" authorId="1" shapeId="0" xr:uid="{9D861764-BBD6-40E0-B516-6E092679F19E}">
      <text>
        <r>
          <rPr>
            <b/>
            <sz val="9"/>
            <color indexed="81"/>
            <rFont val="Tahoma"/>
            <family val="2"/>
          </rPr>
          <t>Sweta Sheth:</t>
        </r>
        <r>
          <rPr>
            <sz val="9"/>
            <color indexed="81"/>
            <rFont val="Tahoma"/>
            <family val="2"/>
          </rPr>
          <t xml:space="preserve">
Includes interest income of </t>
        </r>
        <r>
          <rPr>
            <sz val="9"/>
            <color indexed="81"/>
            <rFont val="Rupee Foradian"/>
            <family val="2"/>
          </rPr>
          <t>`</t>
        </r>
        <r>
          <rPr>
            <sz val="9"/>
            <color indexed="81"/>
            <rFont val="Tahoma"/>
            <family val="2"/>
          </rPr>
          <t>327 crores on account of orders received under Income Tax Act, 1961 for certain assessement years</t>
        </r>
      </text>
    </comment>
    <comment ref="BI24" authorId="1" shapeId="0" xr:uid="{11DC59A2-AFA2-4A1E-AD34-F52D235E2A90}">
      <text>
        <r>
          <rPr>
            <b/>
            <sz val="9"/>
            <color indexed="81"/>
            <rFont val="Tahoma"/>
            <family val="2"/>
          </rPr>
          <t>Sweta Sheth:</t>
        </r>
        <r>
          <rPr>
            <sz val="9"/>
            <color indexed="81"/>
            <rFont val="Tahoma"/>
            <family val="2"/>
          </rPr>
          <t xml:space="preserve">
Includes interest income of </t>
        </r>
        <r>
          <rPr>
            <sz val="9"/>
            <color indexed="81"/>
            <rFont val="Rupee Foradian"/>
            <family val="2"/>
          </rPr>
          <t>`</t>
        </r>
        <r>
          <rPr>
            <sz val="9"/>
            <color indexed="81"/>
            <rFont val="Tahoma"/>
            <family val="2"/>
          </rPr>
          <t>381 crores on account of orders received under Income Tax Act, 1961 for certain assessement years</t>
        </r>
      </text>
    </comment>
    <comment ref="BJ24" authorId="1" shapeId="0" xr:uid="{6261286C-B136-43DC-828F-456606B1CF39}">
      <text>
        <r>
          <rPr>
            <b/>
            <sz val="9"/>
            <color indexed="81"/>
            <rFont val="Tahoma"/>
            <family val="2"/>
          </rPr>
          <t>Sweta Sheth:</t>
        </r>
        <r>
          <rPr>
            <sz val="9"/>
            <color indexed="81"/>
            <rFont val="Tahoma"/>
            <family val="2"/>
          </rPr>
          <t xml:space="preserve">
Includes interest income of </t>
        </r>
        <r>
          <rPr>
            <sz val="9"/>
            <color indexed="81"/>
            <rFont val="Rupee Foradian"/>
            <family val="2"/>
          </rPr>
          <t>`</t>
        </r>
        <r>
          <rPr>
            <sz val="9"/>
            <color indexed="81"/>
            <rFont val="Tahoma"/>
            <family val="2"/>
          </rPr>
          <t>381 crores on account of orders received under Income Tax Act, 1961 for certain assessement years</t>
        </r>
      </text>
    </comment>
    <comment ref="W26" authorId="0" shapeId="0" xr:uid="{CE26347A-D8D2-4BC1-B32B-56891751FE3E}">
      <text>
        <r>
          <rPr>
            <sz val="9"/>
            <color indexed="81"/>
            <rFont val="Tahoma"/>
            <family val="2"/>
          </rPr>
          <t>Sweta Sheth:
Impact of `270 crore on account of reduction in the fair value of Disposal Group held for sale</t>
        </r>
      </text>
    </comment>
    <comment ref="AA26" authorId="0" shapeId="0" xr:uid="{7659C8A3-CA40-44DD-95FD-8D87C1182081}">
      <text>
        <r>
          <rPr>
            <sz val="9"/>
            <color indexed="81"/>
            <rFont val="Tahoma"/>
            <family val="2"/>
          </rPr>
          <t>Sweta Sheth:
Impact on account of reduction in the fair value of Disposal Group held for sale</t>
        </r>
      </text>
    </comment>
    <comment ref="Y27" authorId="0" shapeId="0" xr:uid="{8C2F0319-83D4-43FA-9657-DA483F256EE8}">
      <text>
        <r>
          <rPr>
            <sz val="9"/>
            <color indexed="81"/>
            <rFont val="Tahoma"/>
            <family val="2"/>
          </rPr>
          <t>Sweta Sheth:
On account of reduction in carrying value of Skava</t>
        </r>
      </text>
    </comment>
    <comment ref="AA27" authorId="0" shapeId="0" xr:uid="{0685F96A-E8A3-4EAB-8647-349A8E703799}">
      <text>
        <r>
          <rPr>
            <sz val="9"/>
            <color indexed="81"/>
            <rFont val="Tahoma"/>
            <family val="2"/>
          </rPr>
          <t>Sweta Sheth:
On account of reduction in carrying value of Skava</t>
        </r>
      </text>
    </comment>
    <comment ref="R28" authorId="0" shapeId="0" xr:uid="{5036F8FD-434F-4164-932A-B7815547B757}">
      <text>
        <r>
          <rPr>
            <sz val="9"/>
            <color indexed="81"/>
            <rFont val="Tahoma"/>
            <family val="2"/>
          </rPr>
          <t>Sweta Sheth:
Includes write-down of investment in DWA Nova LLC</t>
        </r>
      </text>
    </comment>
    <comment ref="V28" authorId="0" shapeId="0" xr:uid="{57C1EA81-910F-4C90-8FAF-133E574BB66D}">
      <text>
        <r>
          <rPr>
            <sz val="9"/>
            <color indexed="81"/>
            <rFont val="Tahoma"/>
            <family val="2"/>
          </rPr>
          <t>Sweta Sheth:
Includes write-down of investment in DWA Nova LLC in Q1</t>
        </r>
      </text>
    </comment>
    <comment ref="T31" authorId="0" shapeId="0" xr:uid="{DE23EBC4-F395-4B7B-9B1C-E7ADFAA4F159}">
      <text>
        <r>
          <rPr>
            <sz val="9"/>
            <color indexed="81"/>
            <rFont val="Tahoma"/>
            <family val="2"/>
          </rPr>
          <t>Sweta Sheth:
Includes Rs 1432 cr of reversed income tax expense provision in accordance with "APA" with US IRS which pertains to previous period</t>
        </r>
      </text>
    </comment>
    <comment ref="V31" authorId="0" shapeId="0" xr:uid="{65C3E7A7-186C-41E3-8170-14D0C03B0A9B}">
      <text>
        <r>
          <rPr>
            <sz val="9"/>
            <color indexed="81"/>
            <rFont val="Tahoma"/>
            <family val="2"/>
          </rPr>
          <t>Sweta Sheth:
Includes Rs 1432 cr for Q3 on account of reversed income tax expense provision in accordance with "APA" which pertains to previous period</t>
        </r>
      </text>
    </comment>
    <comment ref="Z31" authorId="0" shapeId="0" xr:uid="{8A91A9D6-300F-4DBD-9344-BE4630720AE3}">
      <text>
        <r>
          <rPr>
            <sz val="9"/>
            <color indexed="81"/>
            <rFont val="Tahoma"/>
            <family val="2"/>
          </rPr>
          <t>Sweta Sheth:
Includes Rs 94 cr of reversal due to an APA in overseas jurisdiction</t>
        </r>
      </text>
    </comment>
    <comment ref="BD31" authorId="1" shapeId="0" xr:uid="{2D5BC64C-C323-4B1C-B824-3128C82E431D}">
      <text>
        <r>
          <rPr>
            <b/>
            <sz val="9"/>
            <color indexed="81"/>
            <rFont val="Tahoma"/>
            <family val="2"/>
          </rPr>
          <t>Sweta Sheth:</t>
        </r>
        <r>
          <rPr>
            <sz val="9"/>
            <color indexed="81"/>
            <rFont val="Tahoma"/>
            <family val="2"/>
          </rPr>
          <t xml:space="preserve">
Lower by ₹101 crore due to reversal of tax provisions as per Income tax orders received</t>
        </r>
      </text>
    </comment>
    <comment ref="BE31" authorId="1" shapeId="0" xr:uid="{C470C872-750B-4D93-828D-A2ADF3620CDE}">
      <text>
        <r>
          <rPr>
            <b/>
            <sz val="9"/>
            <color indexed="81"/>
            <rFont val="Tahoma"/>
            <family val="2"/>
          </rPr>
          <t>Sweta Sheth:</t>
        </r>
        <r>
          <rPr>
            <sz val="9"/>
            <color indexed="81"/>
            <rFont val="Tahoma"/>
            <family val="2"/>
          </rPr>
          <t xml:space="preserve">
Lower by ₹101 crore due to reversal of tax provisions as per Income tax orders received</t>
        </r>
      </text>
    </comment>
    <comment ref="BH31" authorId="1" shapeId="0" xr:uid="{A24B0C1A-19C2-4CA5-868A-E54F670006B0}">
      <text>
        <r>
          <rPr>
            <b/>
            <sz val="9"/>
            <color indexed="81"/>
            <rFont val="Tahoma"/>
            <family val="2"/>
          </rPr>
          <t>Sweta Sheth:</t>
        </r>
        <r>
          <rPr>
            <sz val="9"/>
            <color indexed="81"/>
            <rFont val="Tahoma"/>
            <family val="2"/>
          </rPr>
          <t xml:space="preserve">
Lower by ₹318 crore due to lower tax on account of The Labour Codes</t>
        </r>
      </text>
    </comment>
    <comment ref="BI31" authorId="1" shapeId="0" xr:uid="{D2411EE0-2801-4A83-BCF3-9E6198E6B744}">
      <text>
        <r>
          <rPr>
            <b/>
            <sz val="9"/>
            <color indexed="81"/>
            <rFont val="Tahoma"/>
            <family val="2"/>
          </rPr>
          <t>Sweta Sheth:</t>
        </r>
        <r>
          <rPr>
            <sz val="9"/>
            <color indexed="81"/>
            <rFont val="Tahoma"/>
            <family val="2"/>
          </rPr>
          <t xml:space="preserve">
Lower by ₹774 crore due to reversal of tax provisions as per Income tax orders received</t>
        </r>
      </text>
    </comment>
    <comment ref="BJ31" authorId="1" shapeId="0" xr:uid="{C7BA7C3D-8498-4D05-B535-8DE075F586B6}">
      <text>
        <r>
          <rPr>
            <b/>
            <sz val="9"/>
            <color indexed="81"/>
            <rFont val="Tahoma"/>
            <family val="2"/>
          </rPr>
          <t>Sweta Sheth:</t>
        </r>
        <r>
          <rPr>
            <sz val="9"/>
            <color indexed="81"/>
            <rFont val="Tahoma"/>
            <family val="2"/>
          </rPr>
          <t xml:space="preserve">
1. Lower by ₹774 crore due to reversal of tax provisions as per Income tax orders received, and
2. Lower by </t>
        </r>
        <r>
          <rPr>
            <sz val="9"/>
            <color indexed="81"/>
            <rFont val="Rupee Foradian"/>
            <family val="2"/>
          </rPr>
          <t>`318 crore tax benefit on account of The Labour Codes</t>
        </r>
      </text>
    </comment>
    <comment ref="AY36" authorId="1" shapeId="0" xr:uid="{805DB076-DFBA-436D-A037-4D38AB3FB368}">
      <text>
        <r>
          <rPr>
            <b/>
            <sz val="9"/>
            <color indexed="81"/>
            <rFont val="Tahoma"/>
            <family val="2"/>
          </rPr>
          <t>Sweta Sheth:</t>
        </r>
        <r>
          <rPr>
            <sz val="9"/>
            <color indexed="81"/>
            <rFont val="Tahoma"/>
            <family val="2"/>
          </rPr>
          <t xml:space="preserve">
Includes interest income (pre-tax) of ₹1,933 crores and reversal of net tax provisions amounting to ₹38 crores on account of orders received under sections 250 &amp; 254 of the Income Tax Act, 1961, from the Income Tax Authorities in India for certain assessment years.</t>
        </r>
      </text>
    </comment>
    <comment ref="AZ36" authorId="1" shapeId="0" xr:uid="{6B1352BE-737E-458A-8E0F-47D38EF5A326}">
      <text>
        <r>
          <rPr>
            <b/>
            <sz val="9"/>
            <color indexed="81"/>
            <rFont val="Tahoma"/>
            <family val="2"/>
          </rPr>
          <t>Sweta Sheth:</t>
        </r>
        <r>
          <rPr>
            <sz val="9"/>
            <color indexed="81"/>
            <rFont val="Tahoma"/>
            <family val="2"/>
          </rPr>
          <t xml:space="preserve">
Includes interest income (pre-tax) of ₹1,933 crores and reversal of net tax provisions amounting to ₹38 crores on account of orders received under sections 250 &amp; 254 of the Income Tax Act, 1961, from the Income Tax Authorities in India for certain assessment years.</t>
        </r>
      </text>
    </comment>
    <comment ref="BD36" authorId="1" shapeId="0" xr:uid="{70715942-FA88-4A9A-BDD7-564FDABAC36A}">
      <text>
        <r>
          <rPr>
            <b/>
            <sz val="9"/>
            <color indexed="81"/>
            <rFont val="Tahoma"/>
            <family val="2"/>
          </rPr>
          <t>Sweta Sheth:</t>
        </r>
        <r>
          <rPr>
            <sz val="9"/>
            <color indexed="81"/>
            <rFont val="Tahoma"/>
            <family val="2"/>
          </rPr>
          <t xml:space="preserve">
Includes interest income (pre-tax) of ₹327 crores and reversal of net tax provisions amounting to ₹101 crores on account of orders received under sections 250 &amp; 254 of the Income Tax Act, 1961, from the Income Tax Authorities in India for certain assessment years.</t>
        </r>
      </text>
    </comment>
    <comment ref="BE36" authorId="1" shapeId="0" xr:uid="{916C17A0-0B69-413D-B48B-45AF89FDC17B}">
      <text>
        <r>
          <rPr>
            <b/>
            <sz val="9"/>
            <color indexed="81"/>
            <rFont val="Tahoma"/>
            <family val="2"/>
          </rPr>
          <t>Sweta Sheth:</t>
        </r>
        <r>
          <rPr>
            <sz val="9"/>
            <color indexed="81"/>
            <rFont val="Tahoma"/>
            <family val="2"/>
          </rPr>
          <t xml:space="preserve">
Includes interest income (pre-tax) of ₹327 crores and reversal of net tax provisions amounting to ₹101 crores on account of orders received under sections 250 &amp; 254 of the Income Tax Act, 1961 for certain assessment years.</t>
        </r>
      </text>
    </comment>
    <comment ref="BI36" authorId="1" shapeId="0" xr:uid="{A1B5AA0B-D06A-41B4-B4E1-8B75310C8648}">
      <text>
        <r>
          <rPr>
            <b/>
            <sz val="9"/>
            <color indexed="81"/>
            <rFont val="Tahoma"/>
            <family val="2"/>
          </rPr>
          <t>Sweta Sheth:</t>
        </r>
        <r>
          <rPr>
            <sz val="9"/>
            <color indexed="81"/>
            <rFont val="Tahoma"/>
            <family val="2"/>
          </rPr>
          <t xml:space="preserve">
Includes interest income (pre-tax) of ₹381 crores and reversal of net tax provisions amounting to ₹774 crores on account of orders received under sections 250 &amp; 254 of the Income Tax Act, 1961, from the Income Tax Authorities in India for certain assessment years.</t>
        </r>
      </text>
    </comment>
    <comment ref="BJ36" authorId="1" shapeId="0" xr:uid="{C4881878-5CA9-4131-AA06-03BF168A922F}">
      <text>
        <r>
          <rPr>
            <b/>
            <sz val="9"/>
            <color indexed="81"/>
            <rFont val="Tahoma"/>
            <family val="2"/>
          </rPr>
          <t>Sweta Sheth:</t>
        </r>
        <r>
          <rPr>
            <sz val="9"/>
            <color indexed="81"/>
            <rFont val="Tahoma"/>
            <family val="2"/>
          </rPr>
          <t xml:space="preserve">
1. Includes interest income (pre-tax) of ₹381 crores and reversal of net tax provisions amounting to ₹774 crores on account of orders received under sections 250 &amp; 254 of the Income Tax Act, 1961, for certain assessment years.
2. Includes the effect of the provisions of The Labour Codes which resulted in an increase in gratuity liability and leave liability by </t>
        </r>
        <r>
          <rPr>
            <sz val="9"/>
            <color indexed="81"/>
            <rFont val="Rupee Foradian"/>
            <family val="2"/>
          </rPr>
          <t>`</t>
        </r>
        <r>
          <rPr>
            <sz val="9"/>
            <color indexed="81"/>
            <rFont val="Tahoma"/>
            <family val="2"/>
          </rPr>
          <t xml:space="preserve">1,289 crore and a lower tax of </t>
        </r>
        <r>
          <rPr>
            <sz val="9"/>
            <color indexed="81"/>
            <rFont val="Rupee Foradian"/>
            <family val="2"/>
          </rPr>
          <t xml:space="preserve">` </t>
        </r>
        <r>
          <rPr>
            <sz val="9"/>
            <color indexed="81"/>
            <rFont val="Tahoma"/>
            <family val="2"/>
          </rPr>
          <t>318 crore</t>
        </r>
        <r>
          <rPr>
            <sz val="9"/>
            <color indexed="81"/>
            <rFont val="Rupee Foradian"/>
            <family val="2"/>
          </rPr>
          <t xml:space="preserve"> </t>
        </r>
      </text>
    </comment>
    <comment ref="T39" authorId="0" shapeId="0" xr:uid="{8CE30A0D-8CCD-49D2-B58C-6ABF95EF6E05}">
      <text>
        <r>
          <rPr>
            <sz val="9"/>
            <color indexed="81"/>
            <rFont val="Tahoma"/>
            <family val="2"/>
          </rPr>
          <t>Sweta Sheth
Reversal of income tax expense provision in accordance with "APA" has led to an increase in EPS by `3.15 per share (adjusted for bonus issue in September'18)</t>
        </r>
      </text>
    </comment>
    <comment ref="V39" authorId="0" shapeId="0" xr:uid="{E5ADD619-8677-4D81-BA19-3843053328FC}">
      <text>
        <r>
          <rPr>
            <sz val="9"/>
            <color indexed="81"/>
            <rFont val="Tahoma"/>
            <family val="2"/>
          </rPr>
          <t>Sweta Sheth:
Reversal of income tax expense provision in Q3 in accordance with "APA" has led to an increase in EPS by `2.94 per share (adjusted for bonus issue in September'18)</t>
        </r>
      </text>
    </comment>
    <comment ref="W39" authorId="0" shapeId="0" xr:uid="{497EB664-BB3A-46EF-8FCF-0CE833D58EF8}">
      <text>
        <r>
          <rPr>
            <sz val="9"/>
            <color indexed="81"/>
            <rFont val="Tahoma"/>
            <family val="2"/>
          </rPr>
          <t>Sweta Sheth:
Includes impact of `0.62 on account of reduction in the fair value of Disposal Group held for sale (adjusted for bonus issue in September'18)</t>
        </r>
      </text>
    </comment>
    <comment ref="Y39" authorId="0" shapeId="0" xr:uid="{48F27E78-F6BB-475B-A084-C616C5C59922}">
      <text>
        <r>
          <rPr>
            <sz val="9"/>
            <color indexed="81"/>
            <rFont val="Tahoma"/>
            <family val="2"/>
          </rPr>
          <t>Sweta Sheth:
Includes impact of `1.24 on account of additional depreciation and amortization expenses for Panaya and Skava and reduction in carrying value of Skava</t>
        </r>
      </text>
    </comment>
    <comment ref="AY39" authorId="1" shapeId="0" xr:uid="{CF893E5E-A03C-4CDB-859E-9DF629611384}">
      <text>
        <r>
          <rPr>
            <b/>
            <sz val="9"/>
            <color indexed="81"/>
            <rFont val="Tahoma"/>
            <family val="2"/>
          </rPr>
          <t>Sweta Sheth:</t>
        </r>
        <r>
          <rPr>
            <sz val="9"/>
            <color indexed="81"/>
            <rFont val="Tahoma"/>
            <family val="2"/>
          </rPr>
          <t xml:space="preserve">
Includes </t>
        </r>
        <r>
          <rPr>
            <sz val="9"/>
            <color indexed="81"/>
            <rFont val="Rupee Foradian"/>
            <family val="2"/>
          </rPr>
          <t>`4.76</t>
        </r>
        <r>
          <rPr>
            <sz val="9"/>
            <color indexed="81"/>
            <rFont val="Tahoma"/>
            <family val="2"/>
          </rPr>
          <t xml:space="preserve"> on account of interest income and reversal of net tax provisions</t>
        </r>
      </text>
    </comment>
    <comment ref="AZ39" authorId="1" shapeId="0" xr:uid="{6407DF24-942E-4963-966A-317F6C9C945A}">
      <text>
        <r>
          <rPr>
            <b/>
            <sz val="9"/>
            <color indexed="81"/>
            <rFont val="Tahoma"/>
            <family val="2"/>
          </rPr>
          <t>Sweta Sheth:</t>
        </r>
        <r>
          <rPr>
            <sz val="9"/>
            <color indexed="81"/>
            <rFont val="Tahoma"/>
            <family val="2"/>
          </rPr>
          <t xml:space="preserve">
Includes </t>
        </r>
        <r>
          <rPr>
            <sz val="9"/>
            <color indexed="81"/>
            <rFont val="Rupee Foradian"/>
            <family val="2"/>
          </rPr>
          <t>`4.76</t>
        </r>
        <r>
          <rPr>
            <sz val="9"/>
            <color indexed="81"/>
            <rFont val="Tahoma"/>
            <family val="2"/>
          </rPr>
          <t xml:space="preserve"> on account of interest income and reversal of net tax provisions</t>
        </r>
      </text>
    </comment>
    <comment ref="BD39" authorId="1" shapeId="0" xr:uid="{4FF8DF4F-0B59-4E57-9D77-58BC0CF4AB28}">
      <text>
        <r>
          <rPr>
            <b/>
            <sz val="9"/>
            <color indexed="81"/>
            <rFont val="Tahoma"/>
            <family val="2"/>
          </rPr>
          <t>Sweta Sheth:</t>
        </r>
        <r>
          <rPr>
            <sz val="9"/>
            <color indexed="81"/>
            <rFont val="Tahoma"/>
            <family val="2"/>
          </rPr>
          <t xml:space="preserve">
Includes </t>
        </r>
        <r>
          <rPr>
            <sz val="9"/>
            <color indexed="81"/>
            <rFont val="Rupee Foradian"/>
            <family val="2"/>
          </rPr>
          <t>`1.03</t>
        </r>
        <r>
          <rPr>
            <sz val="9"/>
            <color indexed="81"/>
            <rFont val="Tahoma"/>
            <family val="2"/>
          </rPr>
          <t xml:space="preserve"> on account of interest income and reversal of net tax provisions</t>
        </r>
      </text>
    </comment>
    <comment ref="BE39" authorId="1" shapeId="0" xr:uid="{9BC42688-D1E4-45BA-BE5B-5F51A2A9281F}">
      <text>
        <r>
          <rPr>
            <b/>
            <sz val="9"/>
            <color indexed="81"/>
            <rFont val="Tahoma"/>
            <family val="2"/>
          </rPr>
          <t>Sweta Sheth:</t>
        </r>
        <r>
          <rPr>
            <sz val="9"/>
            <color indexed="81"/>
            <rFont val="Tahoma"/>
            <family val="2"/>
          </rPr>
          <t xml:space="preserve">
Includes </t>
        </r>
        <r>
          <rPr>
            <sz val="9"/>
            <color indexed="81"/>
            <rFont val="Rupee Foradian"/>
            <family val="2"/>
          </rPr>
          <t>`1.03</t>
        </r>
        <r>
          <rPr>
            <sz val="9"/>
            <color indexed="81"/>
            <rFont val="Tahoma"/>
            <family val="2"/>
          </rPr>
          <t xml:space="preserve"> on account of interest income and reversal of net tax provisions</t>
        </r>
      </text>
    </comment>
    <comment ref="AY40" authorId="1" shapeId="0" xr:uid="{93519F83-6AF3-4349-89C0-499CBE3A2648}">
      <text>
        <r>
          <rPr>
            <b/>
            <sz val="9"/>
            <color indexed="81"/>
            <rFont val="Tahoma"/>
            <family val="2"/>
          </rPr>
          <t>Sweta Sheth:</t>
        </r>
        <r>
          <rPr>
            <sz val="9"/>
            <color indexed="81"/>
            <rFont val="Tahoma"/>
            <family val="2"/>
          </rPr>
          <t xml:space="preserve">
Includes </t>
        </r>
        <r>
          <rPr>
            <sz val="9"/>
            <color indexed="81"/>
            <rFont val="Rupee Foradian"/>
            <family val="2"/>
          </rPr>
          <t>`4.76</t>
        </r>
        <r>
          <rPr>
            <sz val="9"/>
            <color indexed="81"/>
            <rFont val="Tahoma"/>
            <family val="2"/>
          </rPr>
          <t xml:space="preserve"> on account of interest income and reversal of net tax provisions</t>
        </r>
      </text>
    </comment>
    <comment ref="AZ40" authorId="1" shapeId="0" xr:uid="{A3DBCF97-4CC0-4C81-AC42-8C2881A334AD}">
      <text>
        <r>
          <rPr>
            <b/>
            <sz val="9"/>
            <color indexed="81"/>
            <rFont val="Tahoma"/>
            <family val="2"/>
          </rPr>
          <t>Sweta Sheth:</t>
        </r>
        <r>
          <rPr>
            <sz val="9"/>
            <color indexed="81"/>
            <rFont val="Tahoma"/>
            <family val="2"/>
          </rPr>
          <t xml:space="preserve">
Includes </t>
        </r>
        <r>
          <rPr>
            <sz val="9"/>
            <color indexed="81"/>
            <rFont val="Rupee Foradian"/>
            <family val="2"/>
          </rPr>
          <t>`4.76</t>
        </r>
        <r>
          <rPr>
            <sz val="9"/>
            <color indexed="81"/>
            <rFont val="Tahoma"/>
            <family val="2"/>
          </rPr>
          <t xml:space="preserve"> on account of interest income and reversal of net tax provisions</t>
        </r>
      </text>
    </comment>
    <comment ref="BD40" authorId="1" shapeId="0" xr:uid="{C09DA326-1A57-4B02-93AE-AD99B307947A}">
      <text>
        <r>
          <rPr>
            <b/>
            <sz val="9"/>
            <color indexed="81"/>
            <rFont val="Tahoma"/>
            <family val="2"/>
          </rPr>
          <t>Sweta Sheth:</t>
        </r>
        <r>
          <rPr>
            <sz val="9"/>
            <color indexed="81"/>
            <rFont val="Tahoma"/>
            <family val="2"/>
          </rPr>
          <t xml:space="preserve">
Includes </t>
        </r>
        <r>
          <rPr>
            <sz val="9"/>
            <color indexed="81"/>
            <rFont val="Rupee Foradian"/>
            <family val="2"/>
          </rPr>
          <t>`1.03</t>
        </r>
        <r>
          <rPr>
            <sz val="9"/>
            <color indexed="81"/>
            <rFont val="Tahoma"/>
            <family val="2"/>
          </rPr>
          <t xml:space="preserve"> on account of interest income and reversal of net tax provisions</t>
        </r>
      </text>
    </comment>
    <comment ref="BE40" authorId="1" shapeId="0" xr:uid="{F2DE108F-D04E-4FDB-89E4-8C8092369688}">
      <text>
        <r>
          <rPr>
            <b/>
            <sz val="9"/>
            <color indexed="81"/>
            <rFont val="Tahoma"/>
            <family val="2"/>
          </rPr>
          <t>Sweta Sheth:</t>
        </r>
        <r>
          <rPr>
            <sz val="9"/>
            <color indexed="81"/>
            <rFont val="Tahoma"/>
            <family val="2"/>
          </rPr>
          <t xml:space="preserve">
Includes </t>
        </r>
        <r>
          <rPr>
            <sz val="9"/>
            <color indexed="81"/>
            <rFont val="Rupee Foradian"/>
            <family val="2"/>
          </rPr>
          <t>`1.03</t>
        </r>
        <r>
          <rPr>
            <sz val="9"/>
            <color indexed="81"/>
            <rFont val="Tahoma"/>
            <family val="2"/>
          </rPr>
          <t xml:space="preserve"> on account of interest income and reversal of net tax provisions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G8" authorId="0" shapeId="0" xr:uid="{A070F0AB-13FA-468F-8464-40D5931C2358}">
      <text>
        <r>
          <rPr>
            <sz val="9"/>
            <color indexed="81"/>
            <rFont val="Tahoma"/>
            <family val="2"/>
          </rPr>
          <t>Sweta Sheth:
Includes earmarked balance for dividend amounting to `4,046 cr</t>
        </r>
      </text>
    </comment>
    <comment ref="AV8" authorId="0" shapeId="0" xr:uid="{9E47FE90-CB49-46A7-B6F8-CF5CF5A3805E}">
      <text>
        <r>
          <rPr>
            <sz val="9"/>
            <color indexed="81"/>
            <rFont val="Tahoma"/>
            <family val="2"/>
          </rPr>
          <t>Sweta Sheth:
Includes earmarked balance for dividend amounting to `7,262 cr</t>
        </r>
      </text>
    </comment>
    <comment ref="BA8" authorId="0" shapeId="0" xr:uid="{9581963B-0BE7-4BE5-BFB2-17310A7BC4CA}">
      <text>
        <r>
          <rPr>
            <sz val="9"/>
            <color indexed="81"/>
            <rFont val="Tahoma"/>
            <family val="2"/>
          </rPr>
          <t xml:space="preserve">Sweta Sheth:
Includes earmarked balance for final and special dividend amounting to </t>
        </r>
        <r>
          <rPr>
            <sz val="9"/>
            <color indexed="81"/>
            <rFont val="Rupee Foradian"/>
            <family val="2"/>
          </rPr>
          <t>`</t>
        </r>
        <r>
          <rPr>
            <sz val="9"/>
            <color indexed="81"/>
            <rFont val="Tahoma"/>
            <family val="2"/>
          </rPr>
          <t>11,625 cr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P52" authorId="0" shapeId="0" xr:uid="{9571EDBD-08EA-4D87-A8AF-5EEB5661F665}">
      <text>
        <r>
          <rPr>
            <sz val="9"/>
            <color indexed="81"/>
            <rFont val="Tahoma"/>
            <family val="2"/>
          </rPr>
          <t>Sweta Sheth:
Including FMP's</t>
        </r>
      </text>
    </comment>
    <comment ref="P53" authorId="0" shapeId="0" xr:uid="{8C21DF77-1F7D-4FD2-AC29-DE0A36AEDCF0}">
      <text>
        <r>
          <rPr>
            <sz val="9"/>
            <color indexed="81"/>
            <rFont val="Tahoma"/>
            <family val="2"/>
          </rPr>
          <t>Sweta Sheth:
including FMP's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Sweta Sheth</author>
  </authors>
  <commentList>
    <comment ref="Y15" authorId="0" shapeId="0" xr:uid="{47991165-EB57-4030-B8BE-0F01A82B2265}">
      <text>
        <r>
          <rPr>
            <sz val="9"/>
            <color indexed="81"/>
            <rFont val="Tahoma"/>
            <family val="2"/>
          </rPr>
          <t>Sweta Sheth:
Includes additional depreciation and amortization expenses of $12 million for Panaya and Skava</t>
        </r>
      </text>
    </comment>
    <comment ref="Y19" authorId="0" shapeId="0" xr:uid="{D311F841-6FC5-403B-B68B-30423CD211BA}">
      <text>
        <r>
          <rPr>
            <sz val="9"/>
            <color indexed="81"/>
            <rFont val="Tahoma"/>
            <family val="2"/>
          </rPr>
          <t>Sweta Sheth:
Includes additional depreciation and amortization impact of 0.4% due to reclassification of assets of Panaya and Skava from “Held for Sale”</t>
        </r>
      </text>
    </comment>
    <comment ref="N22" authorId="0" shapeId="0" xr:uid="{2F055933-44F8-4706-AD23-3FF1BA731E01}">
      <text>
        <r>
          <rPr>
            <sz val="9"/>
            <color indexed="81"/>
            <rFont val="Tahoma"/>
            <family val="2"/>
          </rPr>
          <t>Sweta Sheth:
Includes share in associates of $ (1).</t>
        </r>
      </text>
    </comment>
    <comment ref="N24" authorId="0" shapeId="0" xr:uid="{45FEC8DD-FD6D-472D-AE96-E62683D9EC36}">
      <text>
        <r>
          <rPr>
            <sz val="9"/>
            <color indexed="81"/>
            <rFont val="Tahoma"/>
            <family val="2"/>
          </rPr>
          <t>Sweta Sheth:
Includes share in associates of $ (1).</t>
        </r>
      </text>
    </comment>
    <comment ref="BD24" authorId="1" shapeId="0" xr:uid="{542E374A-D987-4EE6-AC72-2B133313C1DD}">
      <text>
        <r>
          <rPr>
            <b/>
            <sz val="9"/>
            <color indexed="81"/>
            <rFont val="Tahoma"/>
            <family val="2"/>
          </rPr>
          <t>Sweta Sheth:</t>
        </r>
        <r>
          <rPr>
            <sz val="9"/>
            <color indexed="81"/>
            <rFont val="Tahoma"/>
            <family val="2"/>
          </rPr>
          <t xml:space="preserve">
Includes interest income of $38 million on account of orders received under Income Tax Act, 1961 for certain assessement years</t>
        </r>
      </text>
    </comment>
    <comment ref="BE24" authorId="1" shapeId="0" xr:uid="{801EBC00-123C-47E3-8843-494831158C72}">
      <text>
        <r>
          <rPr>
            <b/>
            <sz val="9"/>
            <color indexed="81"/>
            <rFont val="Tahoma"/>
            <family val="2"/>
          </rPr>
          <t>Sweta Sheth:</t>
        </r>
        <r>
          <rPr>
            <sz val="9"/>
            <color indexed="81"/>
            <rFont val="Tahoma"/>
            <family val="2"/>
          </rPr>
          <t xml:space="preserve">
Includes interest income of $38 million on account of orders received under Income Tax Act, 1961 for certain assessement years</t>
        </r>
      </text>
    </comment>
    <comment ref="BI24" authorId="1" shapeId="0" xr:uid="{972FD57F-429E-42D8-BD0D-6DB112328A13}">
      <text>
        <r>
          <rPr>
            <b/>
            <sz val="9"/>
            <color indexed="81"/>
            <rFont val="Tahoma"/>
            <family val="2"/>
          </rPr>
          <t>Sweta Sheth:</t>
        </r>
        <r>
          <rPr>
            <sz val="9"/>
            <color indexed="81"/>
            <rFont val="Tahoma"/>
            <family val="2"/>
          </rPr>
          <t xml:space="preserve">
Includes interest income of </t>
        </r>
        <r>
          <rPr>
            <sz val="9"/>
            <color indexed="81"/>
            <rFont val="Rupee Foradian"/>
            <family val="2"/>
          </rPr>
          <t>$41 million</t>
        </r>
        <r>
          <rPr>
            <sz val="9"/>
            <color indexed="81"/>
            <rFont val="Tahoma"/>
            <family val="2"/>
          </rPr>
          <t xml:space="preserve"> on account of orders received under Income Tax Act, 1961 for certain assessement years</t>
        </r>
      </text>
    </comment>
    <comment ref="BJ24" authorId="1" shapeId="0" xr:uid="{7B08D027-6BA8-40A9-8FD9-234C1A8FB5ED}">
      <text>
        <r>
          <rPr>
            <b/>
            <sz val="9"/>
            <color indexed="81"/>
            <rFont val="Tahoma"/>
            <family val="2"/>
          </rPr>
          <t>Sweta Sheth:</t>
        </r>
        <r>
          <rPr>
            <sz val="9"/>
            <color indexed="81"/>
            <rFont val="Tahoma"/>
            <family val="2"/>
          </rPr>
          <t xml:space="preserve">
Includes interest income of </t>
        </r>
        <r>
          <rPr>
            <sz val="9"/>
            <color indexed="81"/>
            <rFont val="Rupee Foradian"/>
            <family val="2"/>
          </rPr>
          <t>$41 million</t>
        </r>
        <r>
          <rPr>
            <sz val="9"/>
            <color indexed="81"/>
            <rFont val="Tahoma"/>
            <family val="2"/>
          </rPr>
          <t xml:space="preserve"> on account of orders received under Income Tax Act, 1961 for certain assessement years</t>
        </r>
      </text>
    </comment>
    <comment ref="U26" authorId="0" shapeId="0" xr:uid="{7E52657C-6AF0-4399-972B-E18E4928632F}">
      <text>
        <r>
          <rPr>
            <sz val="9"/>
            <color indexed="81"/>
            <rFont val="Tahoma"/>
            <family val="2"/>
          </rPr>
          <t>Sweta Sheth:
Includes impairment loss of $18 million in respect of Panaya</t>
        </r>
      </text>
    </comment>
    <comment ref="V26" authorId="0" shapeId="0" xr:uid="{C800B4DB-F13E-4C28-A458-BE0F7A6DB781}">
      <text>
        <r>
          <rPr>
            <sz val="9"/>
            <color indexed="81"/>
            <rFont val="Tahoma"/>
            <family val="2"/>
          </rPr>
          <t>Sweta Sheth:
Includes impairment loss of $18 million in respect of Panaya</t>
        </r>
      </text>
    </comment>
    <comment ref="W26" authorId="0" shapeId="0" xr:uid="{05B971E7-FD6D-4ACB-84D8-EDDCD230744C}">
      <text>
        <r>
          <rPr>
            <sz val="9"/>
            <color indexed="81"/>
            <rFont val="Tahoma"/>
            <family val="2"/>
          </rPr>
          <t>Sweta Sheth:
Includes impact of $39 million on account of reduction in the fair value of Disposal Group held for sale</t>
        </r>
      </text>
    </comment>
    <comment ref="AA26" authorId="0" shapeId="0" xr:uid="{788E2433-0B90-41BB-819C-A0E5F7FD1BB2}">
      <text>
        <r>
          <rPr>
            <sz val="9"/>
            <color indexed="81"/>
            <rFont val="Tahoma"/>
            <family val="2"/>
          </rPr>
          <t>Sweta Sheth:
Impact on account of reduction in the fair value of Disposal Group held for sale</t>
        </r>
      </text>
    </comment>
    <comment ref="Y27" authorId="0" shapeId="0" xr:uid="{85CF82A6-DAAD-4EBB-9F1C-3EA0E0809FFE}">
      <text>
        <r>
          <rPr>
            <sz val="9"/>
            <color indexed="81"/>
            <rFont val="Tahoma"/>
            <family val="2"/>
          </rPr>
          <t>Sweta Sheth:
On account of reduction in carrying value of Skava</t>
        </r>
      </text>
    </comment>
    <comment ref="AA27" authorId="0" shapeId="0" xr:uid="{6532D217-3FA6-4157-A416-BA374467F921}">
      <text>
        <r>
          <rPr>
            <sz val="9"/>
            <color indexed="81"/>
            <rFont val="Tahoma"/>
            <family val="2"/>
          </rPr>
          <t>Sweta Sheth:
On account of reduction in carrying value of Skava</t>
        </r>
      </text>
    </comment>
    <comment ref="R28" authorId="0" shapeId="0" xr:uid="{2B6C67F5-8533-481A-903E-5FEBCBF92029}">
      <text>
        <r>
          <rPr>
            <sz val="9"/>
            <color indexed="81"/>
            <rFont val="Tahoma"/>
            <family val="2"/>
          </rPr>
          <t>Sweta Sheth:
Includes write-down of investment in DWA Nova LLC</t>
        </r>
      </text>
    </comment>
    <comment ref="T31" authorId="0" shapeId="0" xr:uid="{FED95BA2-B711-4A6C-97D5-604C33BF58A8}">
      <text>
        <r>
          <rPr>
            <sz val="9"/>
            <color indexed="81"/>
            <rFont val="Tahoma"/>
            <family val="2"/>
          </rPr>
          <t>Sweta Sheth:
Includes $ 225 million of reversed income tax expense provision in accordance with "APA" which pertains to previous period</t>
        </r>
      </text>
    </comment>
    <comment ref="V31" authorId="0" shapeId="0" xr:uid="{9B832671-9E76-4BFE-AE8B-4E325BF0C03B}">
      <text>
        <r>
          <rPr>
            <sz val="9"/>
            <color indexed="81"/>
            <rFont val="Tahoma"/>
            <family val="2"/>
          </rPr>
          <t>Sweta Sheth:
Includes $ 225 million for Q3, on account of reversed income tax expense provision in accordance with "APA" which pertains to previous period</t>
        </r>
      </text>
    </comment>
    <comment ref="Z31" authorId="0" shapeId="0" xr:uid="{963D3070-B45A-4762-A0A8-19B6B302062E}">
      <text>
        <r>
          <rPr>
            <sz val="9"/>
            <color indexed="81"/>
            <rFont val="Tahoma"/>
            <family val="2"/>
          </rPr>
          <t>Sweta Sheth:
Includes $14 mn of reversal due to an APA in overseas jurisdiction</t>
        </r>
      </text>
    </comment>
    <comment ref="BD31" authorId="1" shapeId="0" xr:uid="{2FA58E8B-FF68-4274-B5FD-8B687BB58427}">
      <text>
        <r>
          <rPr>
            <b/>
            <sz val="9"/>
            <color indexed="81"/>
            <rFont val="Tahoma"/>
            <family val="2"/>
          </rPr>
          <t>Sweta Sheth:</t>
        </r>
        <r>
          <rPr>
            <sz val="9"/>
            <color indexed="81"/>
            <rFont val="Tahoma"/>
            <family val="2"/>
          </rPr>
          <t xml:space="preserve">
Lower by $12 million due to reversal of tax provisions as per Income tax orders received</t>
        </r>
      </text>
    </comment>
    <comment ref="BE31" authorId="1" shapeId="0" xr:uid="{9B6FD17D-135F-42C6-AE07-2C5761DB13FB}">
      <text>
        <r>
          <rPr>
            <b/>
            <sz val="9"/>
            <color indexed="81"/>
            <rFont val="Tahoma"/>
            <family val="2"/>
          </rPr>
          <t>Sweta Sheth:</t>
        </r>
        <r>
          <rPr>
            <sz val="9"/>
            <color indexed="81"/>
            <rFont val="Tahoma"/>
            <family val="2"/>
          </rPr>
          <t xml:space="preserve">
Lower by $12 million due to reversal of tax provisions as per Income tax orders received</t>
        </r>
      </text>
    </comment>
    <comment ref="BH31" authorId="1" shapeId="0" xr:uid="{E5BAE1F2-E13A-4A48-856F-6B5F3D72049D}">
      <text>
        <r>
          <rPr>
            <b/>
            <sz val="9"/>
            <color indexed="81"/>
            <rFont val="Tahoma"/>
            <family val="2"/>
          </rPr>
          <t>Sweta Sheth:</t>
        </r>
        <r>
          <rPr>
            <sz val="9"/>
            <color indexed="81"/>
            <rFont val="Tahoma"/>
            <family val="2"/>
          </rPr>
          <t xml:space="preserve">
Lower by $35 million due to tax benefit on account of Labour Codes</t>
        </r>
      </text>
    </comment>
    <comment ref="BI31" authorId="1" shapeId="0" xr:uid="{9C8A33AE-192E-4C26-B168-6B74AAA39271}">
      <text>
        <r>
          <rPr>
            <b/>
            <sz val="9"/>
            <color indexed="81"/>
            <rFont val="Tahoma"/>
            <family val="2"/>
          </rPr>
          <t>Sweta Sheth:</t>
        </r>
        <r>
          <rPr>
            <sz val="9"/>
            <color indexed="81"/>
            <rFont val="Tahoma"/>
            <family val="2"/>
          </rPr>
          <t xml:space="preserve">
Lower by $83 million due to reversal of tax provisions as per Income tax orders received</t>
        </r>
      </text>
    </comment>
    <comment ref="BJ31" authorId="1" shapeId="0" xr:uid="{5EAE9FFE-73DF-4C0D-A38C-E73F835B7338}">
      <text>
        <r>
          <rPr>
            <b/>
            <sz val="9"/>
            <color indexed="81"/>
            <rFont val="Tahoma"/>
            <family val="2"/>
          </rPr>
          <t>Sweta Sheth:</t>
        </r>
        <r>
          <rPr>
            <sz val="9"/>
            <color indexed="81"/>
            <rFont val="Tahoma"/>
            <family val="2"/>
          </rPr>
          <t xml:space="preserve">
1. Lower by $ 83 million due to reversal of tax provisions as per Income tax orders received, and
2. Lower by </t>
        </r>
        <r>
          <rPr>
            <sz val="9"/>
            <color indexed="81"/>
            <rFont val="Rupee Foradian"/>
            <family val="2"/>
          </rPr>
          <t>$35 million tax benefit on account of The Labour Codes</t>
        </r>
      </text>
    </comment>
    <comment ref="AY37" authorId="1" shapeId="0" xr:uid="{B4934168-061C-4370-B64B-27D8ADEF9BAB}">
      <text>
        <r>
          <rPr>
            <b/>
            <sz val="9"/>
            <color indexed="81"/>
            <rFont val="Tahoma"/>
            <family val="2"/>
          </rPr>
          <t>Sweta Sheth:</t>
        </r>
        <r>
          <rPr>
            <sz val="9"/>
            <color indexed="81"/>
            <rFont val="Tahoma"/>
            <family val="2"/>
          </rPr>
          <t xml:space="preserve">
Includes interest income (pre-tax) of $232Mn and reversal of net tax provisions amounting to $5Mn on account of orders received under sections 250 &amp; 254 of the Income Tax Act, 1961, from the Income Tax Authorities in India for certain assessment years.</t>
        </r>
      </text>
    </comment>
    <comment ref="AZ37" authorId="1" shapeId="0" xr:uid="{86F0262D-C9DA-4107-BA72-C84B9B29284D}">
      <text>
        <r>
          <rPr>
            <b/>
            <sz val="9"/>
            <color indexed="81"/>
            <rFont val="Tahoma"/>
            <family val="2"/>
          </rPr>
          <t>Sweta Sheth:</t>
        </r>
        <r>
          <rPr>
            <sz val="9"/>
            <color indexed="81"/>
            <rFont val="Tahoma"/>
            <family val="2"/>
          </rPr>
          <t xml:space="preserve">
Includes interest income (pre-tax) of $232Mn and reversal of net tax provisions amounting to $5Mn on account of orders received under sections 250 &amp; 254 of the Income Tax Act, 1961, from the Income Tax Authorities in India for certain assessment years.</t>
        </r>
      </text>
    </comment>
    <comment ref="BD37" authorId="1" shapeId="0" xr:uid="{F5B34678-B94E-4B2C-B4B6-B29C75D1DEA4}">
      <text>
        <r>
          <rPr>
            <b/>
            <sz val="9"/>
            <color indexed="81"/>
            <rFont val="Tahoma"/>
            <family val="2"/>
          </rPr>
          <t>Sweta Sheth:</t>
        </r>
        <r>
          <rPr>
            <sz val="9"/>
            <color indexed="81"/>
            <rFont val="Tahoma"/>
            <family val="2"/>
          </rPr>
          <t xml:space="preserve">
Includes interest income (pre-tax) of $38Mn and reversal of net tax provisions amounting to $12Mn on account of orders received under sections 250 &amp; 254 of the Income Tax Act, 1961, from the Income Tax Authorities in India for certain assessment years.</t>
        </r>
      </text>
    </comment>
    <comment ref="BE37" authorId="1" shapeId="0" xr:uid="{CD477F94-F591-4285-8DFD-5C7F484A5257}">
      <text>
        <r>
          <rPr>
            <b/>
            <sz val="9"/>
            <color indexed="81"/>
            <rFont val="Tahoma"/>
            <family val="2"/>
          </rPr>
          <t>Sweta Sheth:</t>
        </r>
        <r>
          <rPr>
            <sz val="9"/>
            <color indexed="81"/>
            <rFont val="Tahoma"/>
            <family val="2"/>
          </rPr>
          <t xml:space="preserve">
Includes interest income (pre-tax) of $38Mn and reversal of net tax provisions amounting to $12Mn on account of orders received under sections 250 &amp; 254 of the Income Tax Act, 1961 for certain assessment years.</t>
        </r>
      </text>
    </comment>
    <comment ref="BI37" authorId="1" shapeId="0" xr:uid="{731397B2-07B0-4113-AE22-94AC230104F1}">
      <text>
        <r>
          <rPr>
            <b/>
            <sz val="9"/>
            <color indexed="81"/>
            <rFont val="Tahoma"/>
            <family val="2"/>
          </rPr>
          <t>Sweta Sheth:</t>
        </r>
        <r>
          <rPr>
            <sz val="9"/>
            <color indexed="81"/>
            <rFont val="Tahoma"/>
            <family val="2"/>
          </rPr>
          <t xml:space="preserve">
Includes interest income (pre-tax) of $41 million and reversal of net tax provisions amounting to $83 million on account of orders received under sections 250 &amp; 254 of the Income Tax Act, 1961 for certain assessment years.</t>
        </r>
      </text>
    </comment>
    <comment ref="BJ37" authorId="1" shapeId="0" xr:uid="{274DEDB1-20B3-4F96-A31D-6552AD95FA47}">
      <text>
        <r>
          <rPr>
            <b/>
            <sz val="9"/>
            <color indexed="81"/>
            <rFont val="Tahoma"/>
            <family val="2"/>
          </rPr>
          <t>Sweta Sheth:</t>
        </r>
        <r>
          <rPr>
            <sz val="9"/>
            <color indexed="81"/>
            <rFont val="Tahoma"/>
            <family val="2"/>
          </rPr>
          <t xml:space="preserve">
1. Includes interest income (pre-tax) of $41 million and reversal of net tax provisions amounting to $83 million on account of orders received under sections 250 &amp; 254 of the Income Tax Act, 1961 for certain assessment years.
2. Includes the effect of the provisions of The Labour Codes which resulted in an increase in gratuity liability and leave liability by </t>
        </r>
        <r>
          <rPr>
            <sz val="9"/>
            <color indexed="81"/>
            <rFont val="Rupee Foradian"/>
            <family val="2"/>
          </rPr>
          <t>$143</t>
        </r>
        <r>
          <rPr>
            <sz val="9"/>
            <color indexed="81"/>
            <rFont val="Tahoma"/>
            <family val="2"/>
          </rPr>
          <t xml:space="preserve"> million and a lower tax of </t>
        </r>
        <r>
          <rPr>
            <sz val="9"/>
            <color indexed="81"/>
            <rFont val="Tahoma"/>
            <family val="2"/>
          </rPr>
          <t xml:space="preserve">$35 million </t>
        </r>
      </text>
    </comment>
    <comment ref="T40" authorId="0" shapeId="0" xr:uid="{EE3B87AE-8641-4227-8737-ACCA79821DE4}">
      <text>
        <r>
          <rPr>
            <sz val="9"/>
            <color indexed="81"/>
            <rFont val="Tahoma"/>
            <family val="2"/>
          </rPr>
          <t>Sweta Sheth:
Reversal of income tax expense provision in accordance with "APA" has led to an increase in EPS by $0.05 per share (adjusted for bonus issue in Septemebr'18)</t>
        </r>
      </text>
    </comment>
    <comment ref="V40" authorId="0" shapeId="0" xr:uid="{264256A9-FF98-41F3-8A21-65CD29DC26E6}">
      <text>
        <r>
          <rPr>
            <sz val="9"/>
            <color indexed="81"/>
            <rFont val="Tahoma"/>
            <family val="2"/>
          </rPr>
          <t>Sweta Sheth:
Reversal of income tax expense provision in accordance with "APA" has led to an increase in EPS by $0.05 per share (adjustd for bonus issue in Septemebr'18)</t>
        </r>
      </text>
    </comment>
    <comment ref="W40" authorId="0" shapeId="0" xr:uid="{D8959259-D9B8-463F-B3CD-A128E8A1586B}">
      <text>
        <r>
          <rPr>
            <sz val="9"/>
            <color indexed="81"/>
            <rFont val="Tahoma"/>
            <family val="2"/>
          </rPr>
          <t>Sweta Sheth:
Includes impact of $0.01 on account of reduction in the fair value of Disposal Group held for sale (adjustd for bonus issue in Septemebr'18)</t>
        </r>
      </text>
    </comment>
    <comment ref="Y40" authorId="0" shapeId="0" xr:uid="{55063F8B-FAB4-47E1-8D26-B624B2F8827F}">
      <text>
        <r>
          <rPr>
            <sz val="9"/>
            <color indexed="81"/>
            <rFont val="Tahoma"/>
            <family val="2"/>
          </rPr>
          <t>Sweta Sheth:
Includes impact of $0.02 on account of additional depreciation and amortization expenses for Panaya and Skava and reduction in carrying value of Skava</t>
        </r>
      </text>
    </comment>
    <comment ref="AY40" authorId="1" shapeId="0" xr:uid="{91F1FF03-01E9-4427-A453-DD3B44A51E6D}">
      <text>
        <r>
          <rPr>
            <b/>
            <sz val="9"/>
            <color indexed="81"/>
            <rFont val="Tahoma"/>
            <family val="2"/>
          </rPr>
          <t>Sweta Sheth:</t>
        </r>
        <r>
          <rPr>
            <sz val="9"/>
            <color indexed="81"/>
            <rFont val="Tahoma"/>
            <family val="2"/>
          </rPr>
          <t xml:space="preserve">
Includes $0.06 on account of interest income and reversal of net tax provisions</t>
        </r>
      </text>
    </comment>
    <comment ref="AZ40" authorId="1" shapeId="0" xr:uid="{73CBB54C-6A13-481E-AD9C-42C307538F57}">
      <text>
        <r>
          <rPr>
            <b/>
            <sz val="9"/>
            <color indexed="81"/>
            <rFont val="Tahoma"/>
            <family val="2"/>
          </rPr>
          <t>Sweta Sheth:</t>
        </r>
        <r>
          <rPr>
            <sz val="9"/>
            <color indexed="81"/>
            <rFont val="Tahoma"/>
            <family val="2"/>
          </rPr>
          <t xml:space="preserve">
Includes $0.06 on account of interest income and reversal of net tax provisions</t>
        </r>
      </text>
    </comment>
    <comment ref="BD40" authorId="1" shapeId="0" xr:uid="{B2B22D3E-F197-4C47-A403-269CF94B167C}">
      <text>
        <r>
          <rPr>
            <b/>
            <sz val="9"/>
            <color indexed="81"/>
            <rFont val="Tahoma"/>
            <family val="2"/>
          </rPr>
          <t>Sweta Sheth:</t>
        </r>
        <r>
          <rPr>
            <sz val="9"/>
            <color indexed="81"/>
            <rFont val="Tahoma"/>
            <family val="2"/>
          </rPr>
          <t xml:space="preserve">
Includes $0.01 on account of interest income and reversal of net tax provisions</t>
        </r>
      </text>
    </comment>
    <comment ref="BE40" authorId="1" shapeId="0" xr:uid="{DAF3801A-FC69-4E72-984B-15E84A9BBDA5}">
      <text>
        <r>
          <rPr>
            <b/>
            <sz val="9"/>
            <color indexed="81"/>
            <rFont val="Tahoma"/>
            <family val="2"/>
          </rPr>
          <t>Sweta Sheth:</t>
        </r>
        <r>
          <rPr>
            <sz val="9"/>
            <color indexed="81"/>
            <rFont val="Tahoma"/>
            <family val="2"/>
          </rPr>
          <t xml:space="preserve">
Includes $0.01 on account of interest income and reversal of net tax provisions</t>
        </r>
      </text>
    </comment>
    <comment ref="AY41" authorId="1" shapeId="0" xr:uid="{3AC1CF3E-4815-4CE3-87C4-77536D810075}">
      <text>
        <r>
          <rPr>
            <b/>
            <sz val="9"/>
            <color indexed="81"/>
            <rFont val="Tahoma"/>
            <family val="2"/>
          </rPr>
          <t>Sweta Sheth:</t>
        </r>
        <r>
          <rPr>
            <sz val="9"/>
            <color indexed="81"/>
            <rFont val="Tahoma"/>
            <family val="2"/>
          </rPr>
          <t xml:space="preserve">
Includes $0.06 on account of interest income and reversal of net tax provisions</t>
        </r>
      </text>
    </comment>
    <comment ref="AZ41" authorId="1" shapeId="0" xr:uid="{82267FC5-2833-4F98-BADE-85F737F6179F}">
      <text>
        <r>
          <rPr>
            <b/>
            <sz val="9"/>
            <color indexed="81"/>
            <rFont val="Tahoma"/>
            <family val="2"/>
          </rPr>
          <t>Sweta Sheth:</t>
        </r>
        <r>
          <rPr>
            <sz val="9"/>
            <color indexed="81"/>
            <rFont val="Tahoma"/>
            <family val="2"/>
          </rPr>
          <t xml:space="preserve">
Includes $0.06 on account of interest income and reversal of net tax provisions</t>
        </r>
      </text>
    </comment>
    <comment ref="BD41" authorId="1" shapeId="0" xr:uid="{03E889A6-8D88-4909-B50D-6FB60B84BCBE}">
      <text>
        <r>
          <rPr>
            <b/>
            <sz val="9"/>
            <color indexed="81"/>
            <rFont val="Tahoma"/>
            <family val="2"/>
          </rPr>
          <t>Sweta Sheth:</t>
        </r>
        <r>
          <rPr>
            <sz val="9"/>
            <color indexed="81"/>
            <rFont val="Tahoma"/>
            <family val="2"/>
          </rPr>
          <t xml:space="preserve">
Includes $0.01 on account of interest income and reversal of net tax provisions</t>
        </r>
      </text>
    </comment>
    <comment ref="BE41" authorId="1" shapeId="0" xr:uid="{9DBC3A7E-DFA6-4107-A1B7-9BD00F717A49}">
      <text>
        <r>
          <rPr>
            <b/>
            <sz val="9"/>
            <color indexed="81"/>
            <rFont val="Tahoma"/>
            <family val="2"/>
          </rPr>
          <t>Sweta Sheth:</t>
        </r>
        <r>
          <rPr>
            <sz val="9"/>
            <color indexed="81"/>
            <rFont val="Tahoma"/>
            <family val="2"/>
          </rPr>
          <t xml:space="preserve">
Includes $0.01 on account of interest income and reversal of net tax provisions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H8" authorId="0" shapeId="0" xr:uid="{BC09D1D1-1580-4259-B269-0AEA45C7A7AA}">
      <text>
        <r>
          <rPr>
            <sz val="9"/>
            <color indexed="81"/>
            <rFont val="Tahoma"/>
            <family val="2"/>
          </rPr>
          <t>Sweta Sheth:
Includes earmarked balance for dividend amounting to $536 million</t>
        </r>
      </text>
    </comment>
    <comment ref="AW8" authorId="0" shapeId="0" xr:uid="{59D9930A-2810-43BF-990E-84B30A15BCDA}">
      <text>
        <r>
          <rPr>
            <sz val="9"/>
            <color indexed="81"/>
            <rFont val="Tahoma"/>
            <family val="2"/>
          </rPr>
          <t>Sweta Sheth:
Includes earmarked balance for dividend amounting to $885 million</t>
        </r>
      </text>
    </comment>
    <comment ref="BB8" authorId="0" shapeId="0" xr:uid="{2E981137-AB55-41A3-9EB6-A6C1B1248FBF}">
      <text>
        <r>
          <rPr>
            <sz val="9"/>
            <color indexed="81"/>
            <rFont val="Tahoma"/>
            <family val="2"/>
          </rPr>
          <t>Sweta Sheth:
Includes earmarked balance for final and special dividend amounting to $1,394 million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M18" authorId="0" shapeId="0" xr:uid="{12700910-7A88-4542-98CC-0D11D647300D}">
      <text>
        <r>
          <rPr>
            <sz val="9"/>
            <color indexed="81"/>
            <rFont val="Tahoma"/>
            <family val="2"/>
          </rPr>
          <t>Niraj Agarwal01:
Impairment loss on financial assets</t>
        </r>
      </text>
    </comment>
    <comment ref="N18" authorId="0" shapeId="0" xr:uid="{8175AD72-38D7-409D-88FD-3C2D92F854F6}">
      <text>
        <r>
          <rPr>
            <sz val="9"/>
            <color indexed="81"/>
            <rFont val="Tahoma"/>
            <family val="2"/>
          </rPr>
          <t xml:space="preserve">Sweta Sheth:
Impairment loss on financial assets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Sweta Sheth</author>
  </authors>
  <commentList>
    <comment ref="I106" authorId="0" shapeId="0" xr:uid="{01C7F5C8-1BA7-4FAF-A8E1-1513C7B022DA}">
      <text>
        <r>
          <rPr>
            <sz val="9"/>
            <color indexed="81"/>
            <rFont val="Tahoma"/>
            <family val="2"/>
          </rPr>
          <t>sandeep_mahindroo:
Total platform revenues (not just BPM platforms)</t>
        </r>
      </text>
    </comment>
    <comment ref="C111" authorId="0" shapeId="0" xr:uid="{2118FC12-D767-45AD-BE5E-1B02FD322EBD}">
      <text>
        <r>
          <rPr>
            <sz val="9"/>
            <color indexed="81"/>
            <rFont val="Tahoma"/>
            <family val="2"/>
          </rPr>
          <t>Sweta Sheth:
Please refer Fact Sheet for further details on definition</t>
        </r>
      </text>
    </comment>
    <comment ref="C200" authorId="0" shapeId="0" xr:uid="{ACD94FD8-BE99-488E-B3BE-FA091761150A}">
      <text>
        <r>
          <rPr>
            <sz val="9"/>
            <color indexed="81"/>
            <rFont val="Tahoma"/>
            <family val="2"/>
          </rPr>
          <t>Sweta Sheth:
Includes enterprises in Financial Services and Insurance</t>
        </r>
      </text>
    </comment>
    <comment ref="C201" authorId="0" shapeId="0" xr:uid="{F11FE4CA-705F-4C03-9B36-7E291FB52C52}">
      <text>
        <r>
          <rPr>
            <sz val="9"/>
            <color indexed="81"/>
            <rFont val="Tahoma"/>
            <family val="2"/>
          </rPr>
          <t>Sweta Sheth:
Includes enterprises in Retail, Consumer Packaged Goods and Logistics</t>
        </r>
      </text>
    </comment>
    <comment ref="C202" authorId="0" shapeId="0" xr:uid="{50B85FFA-DD61-4F41-B3C5-C7F35D33D648}">
      <text>
        <r>
          <rPr>
            <sz val="9"/>
            <color indexed="81"/>
            <rFont val="Tahoma"/>
            <family val="2"/>
          </rPr>
          <t>Sweta Sheth:
Includes enterprises in Communications, Telecom OEM, amd Media</t>
        </r>
      </text>
    </comment>
    <comment ref="C206" authorId="0" shapeId="0" xr:uid="{CA64873E-DC4A-4727-B620-8C1922627C94}">
      <text>
        <r>
          <rPr>
            <sz val="9"/>
            <color indexed="81"/>
            <rFont val="Tahoma"/>
            <family val="2"/>
          </rPr>
          <t>Sweta Sheth:
Includes enterprises in Life Sciences and Healthcare</t>
        </r>
      </text>
    </comment>
    <comment ref="C207" authorId="0" shapeId="0" xr:uid="{C17D9BEB-4B95-4A8C-AD2A-46F4177E1729}">
      <text>
        <r>
          <rPr>
            <sz val="9"/>
            <color indexed="81"/>
            <rFont val="Tahoma"/>
            <family val="2"/>
          </rPr>
          <t>Sweta Sheth:
Includes operating segments of businesses in India, Japan, China and enterprises in Public Services</t>
        </r>
      </text>
    </comment>
    <comment ref="AH234" authorId="0" shapeId="0" xr:uid="{F0F9ADC3-0837-4F62-BCF0-A17E9938B13D}">
      <text>
        <r>
          <rPr>
            <sz val="9"/>
            <color indexed="81"/>
            <rFont val="Tahoma"/>
            <family val="2"/>
          </rPr>
          <t>Sweta Sheth:
Excludes earmarked balance for dividend payment</t>
        </r>
      </text>
    </comment>
    <comment ref="AW234" authorId="0" shapeId="0" xr:uid="{350087C9-EEBD-4A25-BE44-2C504F92FC4A}">
      <text>
        <r>
          <rPr>
            <sz val="9"/>
            <color indexed="81"/>
            <rFont val="Tahoma"/>
            <family val="2"/>
          </rPr>
          <t>Sweta Sheth:
Excludes earmarked balance for dividend payment</t>
        </r>
      </text>
    </comment>
    <comment ref="BB234" authorId="0" shapeId="0" xr:uid="{C66EB2B4-E03E-41C3-985F-2B4C8BBE97F2}">
      <text>
        <r>
          <rPr>
            <sz val="9"/>
            <color indexed="81"/>
            <rFont val="Tahoma"/>
            <family val="2"/>
          </rPr>
          <t>Sweta Sheth:
Excludes earmarked balance for dividend payment</t>
        </r>
      </text>
    </comment>
    <comment ref="BI248" authorId="1" shapeId="0" xr:uid="{EB306E42-751C-4498-9DF8-11CC1519E55E}">
      <text>
        <r>
          <rPr>
            <b/>
            <sz val="9"/>
            <color indexed="81"/>
            <rFont val="Tahoma"/>
            <family val="2"/>
          </rPr>
          <t>Sweta Sheth:</t>
        </r>
        <r>
          <rPr>
            <sz val="9"/>
            <color indexed="81"/>
            <rFont val="Tahoma"/>
            <family val="2"/>
          </rPr>
          <t xml:space="preserve">
Adjusted for Labour Codes, 112.8%</t>
        </r>
      </text>
    </comment>
    <comment ref="BJ248" authorId="1" shapeId="0" xr:uid="{451AAED5-587B-44AC-A883-53CFC174870E}">
      <text>
        <r>
          <rPr>
            <b/>
            <sz val="9"/>
            <color indexed="81"/>
            <rFont val="Tahoma"/>
            <family val="2"/>
          </rPr>
          <t>Sweta Sheth:</t>
        </r>
        <r>
          <rPr>
            <sz val="9"/>
            <color indexed="81"/>
            <rFont val="Tahoma"/>
            <family val="2"/>
          </rPr>
          <t xml:space="preserve">
Adjusted for Labour Codes and interest on Income tax refunds, 110.7%</t>
        </r>
      </text>
    </comment>
    <comment ref="BK248" authorId="1" shapeId="0" xr:uid="{89F0E2E3-9DC0-4690-96B2-A6B877E208B2}">
      <text>
        <r>
          <rPr>
            <b/>
            <sz val="9"/>
            <color indexed="81"/>
            <rFont val="Tahoma"/>
            <family val="2"/>
          </rPr>
          <t>Sweta Sheth:</t>
        </r>
        <r>
          <rPr>
            <sz val="9"/>
            <color indexed="81"/>
            <rFont val="Tahoma"/>
            <family val="2"/>
          </rPr>
          <t xml:space="preserve">
Adjusted for Labour Codes and interest on Income tax refunds, 106.1%</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66468192-D38F-4FD5-955D-D15DAC25334A}">
      <text>
        <r>
          <rPr>
            <sz val="9"/>
            <color indexed="81"/>
            <rFont val="Tahoma"/>
            <family val="2"/>
          </rPr>
          <t>Sweta Sheth:
Includes 
Financial Services and Insurance</t>
        </r>
      </text>
    </comment>
    <comment ref="D4" authorId="0" shapeId="0" xr:uid="{CF72C231-3FA3-4F51-A311-05B4069DAB2E}">
      <text>
        <r>
          <rPr>
            <sz val="9"/>
            <color indexed="81"/>
            <rFont val="Tahoma"/>
            <family val="2"/>
          </rPr>
          <t>Sweta Sheth:
Includes Retail, Consumer Packaged Goods and Logistics</t>
        </r>
      </text>
    </comment>
    <comment ref="E4" authorId="0" shapeId="0" xr:uid="{5F7E3D6E-E426-4F6D-944A-9A03E8F2430C}">
      <text>
        <r>
          <rPr>
            <sz val="9"/>
            <color indexed="81"/>
            <rFont val="Tahoma"/>
            <family val="2"/>
          </rPr>
          <t>Sweta Sheth:
Includes Communication, Telecom OEM and Media</t>
        </r>
      </text>
    </comment>
    <comment ref="I4" authorId="0" shapeId="0" xr:uid="{5F0FD73F-4696-450C-92BC-5E341F4ADBAB}">
      <text>
        <r>
          <rPr>
            <sz val="9"/>
            <color indexed="81"/>
            <rFont val="Tahoma"/>
            <family val="2"/>
          </rPr>
          <t>Sweta Sheth:
Includes Life Sciences and Health care</t>
        </r>
      </text>
    </comment>
    <comment ref="J4" authorId="0" shapeId="0" xr:uid="{BF30A09D-D618-4434-9F5C-4594D9C71223}">
      <text>
        <r>
          <rPr>
            <sz val="9"/>
            <color indexed="81"/>
            <rFont val="Tahoma"/>
            <family val="2"/>
          </rPr>
          <t>Sweta Sheth:
Includes India, Japan, China, Infosys Public Services and other enterprises in Public services</t>
        </r>
      </text>
    </comment>
    <comment ref="C18" authorId="0" shapeId="0" xr:uid="{B5E5D6B1-80B9-4273-84F6-40F3B9A45DCD}">
      <text>
        <r>
          <rPr>
            <sz val="9"/>
            <color indexed="81"/>
            <rFont val="Tahoma"/>
            <family val="2"/>
          </rPr>
          <t>Sweta Sheth:
Includes 
Financial Services and Insurance</t>
        </r>
      </text>
    </comment>
    <comment ref="D18" authorId="0" shapeId="0" xr:uid="{317E6CF7-B853-447D-BD33-6A03ABFF3CA3}">
      <text>
        <r>
          <rPr>
            <sz val="9"/>
            <color indexed="81"/>
            <rFont val="Tahoma"/>
            <family val="2"/>
          </rPr>
          <t>Sweta Sheth:
Includes Retail, Consumer Packaged Goods and Logistics</t>
        </r>
      </text>
    </comment>
    <comment ref="E18" authorId="0" shapeId="0" xr:uid="{3591CC23-1DEC-4280-B91F-92AFE55F1E7C}">
      <text>
        <r>
          <rPr>
            <sz val="9"/>
            <color indexed="81"/>
            <rFont val="Tahoma"/>
            <family val="2"/>
          </rPr>
          <t>Sweta Sheth:
Includes Communication, Telecom OEM and Media</t>
        </r>
      </text>
    </comment>
    <comment ref="I18" authorId="0" shapeId="0" xr:uid="{9BB2D030-799C-4BCA-BAD8-6A63CCC3B98C}">
      <text>
        <r>
          <rPr>
            <sz val="9"/>
            <color indexed="81"/>
            <rFont val="Tahoma"/>
            <family val="2"/>
          </rPr>
          <t>Sweta Sheth:
Includes Life Sciences and Health care</t>
        </r>
      </text>
    </comment>
    <comment ref="J18" authorId="0" shapeId="0" xr:uid="{3F744876-158F-45BA-BE17-8EDA05DDFBD2}">
      <text>
        <r>
          <rPr>
            <sz val="9"/>
            <color indexed="81"/>
            <rFont val="Tahoma"/>
            <family val="2"/>
          </rPr>
          <t>Sweta Sheth:
Includes India, Japan, China, Infosys Public Services and other enterprises in Public services</t>
        </r>
      </text>
    </comment>
    <comment ref="C32" authorId="0" shapeId="0" xr:uid="{F6F1CF9E-7915-4A17-B715-3C4E388A3B49}">
      <text>
        <r>
          <rPr>
            <sz val="9"/>
            <color indexed="81"/>
            <rFont val="Tahoma"/>
            <family val="2"/>
          </rPr>
          <t>Sweta Sheth:
Includes 
Financial Services and Insurance</t>
        </r>
      </text>
    </comment>
    <comment ref="D32" authorId="0" shapeId="0" xr:uid="{72988A58-B341-440A-9065-1319C57AD9C2}">
      <text>
        <r>
          <rPr>
            <sz val="9"/>
            <color indexed="81"/>
            <rFont val="Tahoma"/>
            <family val="2"/>
          </rPr>
          <t>Sweta Sheth:
Includes Retail, Consumer Packaged Goods and Logistics</t>
        </r>
      </text>
    </comment>
    <comment ref="E32" authorId="0" shapeId="0" xr:uid="{DB9C8F9D-6BF4-483C-AA91-5736842FF636}">
      <text>
        <r>
          <rPr>
            <sz val="9"/>
            <color indexed="81"/>
            <rFont val="Tahoma"/>
            <family val="2"/>
          </rPr>
          <t>Sweta Sheth:
Includes Communication, Telecom OEM and Media</t>
        </r>
      </text>
    </comment>
    <comment ref="I32" authorId="0" shapeId="0" xr:uid="{A124D129-644A-4D9C-831C-FBB167611C29}">
      <text>
        <r>
          <rPr>
            <sz val="9"/>
            <color indexed="81"/>
            <rFont val="Tahoma"/>
            <family val="2"/>
          </rPr>
          <t>Sweta Sheth:
Includes Life Sciences and Health care</t>
        </r>
      </text>
    </comment>
    <comment ref="J32" authorId="0" shapeId="0" xr:uid="{083D8A58-0B0F-4563-BC59-AB5900D95D95}">
      <text>
        <r>
          <rPr>
            <sz val="9"/>
            <color indexed="81"/>
            <rFont val="Tahoma"/>
            <family val="2"/>
          </rPr>
          <t>Sweta Sheth:
Includes India, Japan, China, Infosys Public Services and other enterprises in Public services</t>
        </r>
      </text>
    </comment>
    <comment ref="C46" authorId="0" shapeId="0" xr:uid="{3B594C63-3516-4A5A-95E2-3532A42144A5}">
      <text>
        <r>
          <rPr>
            <sz val="9"/>
            <color indexed="81"/>
            <rFont val="Tahoma"/>
            <family val="2"/>
          </rPr>
          <t>Sweta Sheth:
Includes 
Financial Services and Insurance</t>
        </r>
      </text>
    </comment>
    <comment ref="D46" authorId="0" shapeId="0" xr:uid="{82479CFF-66A9-4A08-931C-B004E5B6402C}">
      <text>
        <r>
          <rPr>
            <sz val="9"/>
            <color indexed="81"/>
            <rFont val="Tahoma"/>
            <family val="2"/>
          </rPr>
          <t>Sweta Sheth:
Includes Retail, Consumer Packaged Goods and Logistics</t>
        </r>
      </text>
    </comment>
    <comment ref="E46" authorId="0" shapeId="0" xr:uid="{6151EB99-9720-4B7B-ABBE-2BF5FD2831F1}">
      <text>
        <r>
          <rPr>
            <sz val="9"/>
            <color indexed="81"/>
            <rFont val="Tahoma"/>
            <family val="2"/>
          </rPr>
          <t>Sweta Sheth:
Includes Communication, Telecom OEM and Media</t>
        </r>
      </text>
    </comment>
    <comment ref="I46" authorId="0" shapeId="0" xr:uid="{AFD5EBE9-82EF-4CF5-A096-6E7F1B4939D9}">
      <text>
        <r>
          <rPr>
            <sz val="9"/>
            <color indexed="81"/>
            <rFont val="Tahoma"/>
            <family val="2"/>
          </rPr>
          <t>Sweta Sheth:
Includes Life Sciences and Health care</t>
        </r>
      </text>
    </comment>
    <comment ref="J46" authorId="0" shapeId="0" xr:uid="{6F6D0CE1-3EEB-4DC1-A353-5D49B1ECCBD6}">
      <text>
        <r>
          <rPr>
            <sz val="9"/>
            <color indexed="81"/>
            <rFont val="Tahoma"/>
            <family val="2"/>
          </rPr>
          <t>Sweta Sheth:
Includes India, Japan, China, Infosys Public Services and other enterprises in Public services</t>
        </r>
      </text>
    </comment>
    <comment ref="C61" authorId="0" shapeId="0" xr:uid="{78F9605E-CC0D-401B-83A2-C91325E21ECF}">
      <text>
        <r>
          <rPr>
            <sz val="9"/>
            <color indexed="81"/>
            <rFont val="Tahoma"/>
            <family val="2"/>
          </rPr>
          <t>Sweta Sheth:
Includes 
Financial Services and Insurance</t>
        </r>
      </text>
    </comment>
    <comment ref="D61" authorId="0" shapeId="0" xr:uid="{3203C46C-7C49-4C3A-8183-152DCD383395}">
      <text>
        <r>
          <rPr>
            <sz val="9"/>
            <color indexed="81"/>
            <rFont val="Tahoma"/>
            <family val="2"/>
          </rPr>
          <t>Sweta Sheth:
Includes Retail, Consumer Packaged Goods and Logistics</t>
        </r>
      </text>
    </comment>
    <comment ref="E61" authorId="0" shapeId="0" xr:uid="{9E7F4B6E-7B0E-463F-85DE-78D63FA0FC8C}">
      <text>
        <r>
          <rPr>
            <sz val="9"/>
            <color indexed="81"/>
            <rFont val="Tahoma"/>
            <family val="2"/>
          </rPr>
          <t>Sweta Sheth:
Includes Communication, Telecom OEM and Media</t>
        </r>
      </text>
    </comment>
    <comment ref="I61" authorId="0" shapeId="0" xr:uid="{770EC613-A636-4DEE-981A-265C241EA48D}">
      <text>
        <r>
          <rPr>
            <sz val="9"/>
            <color indexed="81"/>
            <rFont val="Tahoma"/>
            <family val="2"/>
          </rPr>
          <t>Sweta Sheth:
Includes Life Sciences and Health care</t>
        </r>
      </text>
    </comment>
    <comment ref="J61" authorId="0" shapeId="0" xr:uid="{C2E81DFB-C43A-4818-BB60-449F4B7AECFA}">
      <text>
        <r>
          <rPr>
            <sz val="9"/>
            <color indexed="81"/>
            <rFont val="Tahoma"/>
            <family val="2"/>
          </rPr>
          <t>Sweta Sheth:
Includes India, Japan, China, Infosys Public Services and other enterprises in Public services</t>
        </r>
      </text>
    </comment>
    <comment ref="C76" authorId="0" shapeId="0" xr:uid="{BF8CEE46-ACF5-47F6-B498-7483B5D29C29}">
      <text>
        <r>
          <rPr>
            <sz val="9"/>
            <color indexed="81"/>
            <rFont val="Tahoma"/>
            <family val="2"/>
          </rPr>
          <t>Sweta Sheth:
Includes 
Financial Services and Insurance</t>
        </r>
      </text>
    </comment>
    <comment ref="D76" authorId="0" shapeId="0" xr:uid="{558B1B9E-76D9-48AF-9853-180FC320BA70}">
      <text>
        <r>
          <rPr>
            <sz val="9"/>
            <color indexed="81"/>
            <rFont val="Tahoma"/>
            <family val="2"/>
          </rPr>
          <t>Sweta Sheth:
Includes Retail, Consumer Packaged Goods and Logistics</t>
        </r>
      </text>
    </comment>
    <comment ref="E76" authorId="0" shapeId="0" xr:uid="{17CC397B-074D-48FF-B4A1-534E26A6F5CB}">
      <text>
        <r>
          <rPr>
            <sz val="9"/>
            <color indexed="81"/>
            <rFont val="Tahoma"/>
            <family val="2"/>
          </rPr>
          <t>Sweta Sheth:
Includes Communication, Telecom OEM and Media</t>
        </r>
      </text>
    </comment>
    <comment ref="I76" authorId="0" shapeId="0" xr:uid="{869F6424-498E-4069-A7E8-05718F6ACD68}">
      <text>
        <r>
          <rPr>
            <sz val="9"/>
            <color indexed="81"/>
            <rFont val="Tahoma"/>
            <family val="2"/>
          </rPr>
          <t>Sweta Sheth:
Includes Life Sciences and Health care</t>
        </r>
      </text>
    </comment>
    <comment ref="J76" authorId="0" shapeId="0" xr:uid="{231A89D7-7F66-4C8F-8820-9D39D21464D2}">
      <text>
        <r>
          <rPr>
            <sz val="9"/>
            <color indexed="81"/>
            <rFont val="Tahoma"/>
            <family val="2"/>
          </rPr>
          <t>Sweta Sheth:
Includes India, Japan, China, Infosys Public Services and other enterprises in Public services</t>
        </r>
      </text>
    </comment>
    <comment ref="C90" authorId="0" shapeId="0" xr:uid="{60B63CCF-7DCD-42C6-8937-08C0405C1198}">
      <text>
        <r>
          <rPr>
            <sz val="9"/>
            <color indexed="81"/>
            <rFont val="Tahoma"/>
            <family val="2"/>
          </rPr>
          <t>Sweta Sheth:
Includes 
Financial Services and Insurance</t>
        </r>
      </text>
    </comment>
    <comment ref="D90" authorId="0" shapeId="0" xr:uid="{E2D39A41-89AA-491D-96EE-1AEBF73A4582}">
      <text>
        <r>
          <rPr>
            <sz val="9"/>
            <color indexed="81"/>
            <rFont val="Tahoma"/>
            <family val="2"/>
          </rPr>
          <t>Sweta Sheth:
Includes Retail, Consumer Packaged Goods and Logistics</t>
        </r>
      </text>
    </comment>
    <comment ref="E90" authorId="0" shapeId="0" xr:uid="{F8440351-765D-4DCB-AFB2-E5F6E177B7A2}">
      <text>
        <r>
          <rPr>
            <sz val="9"/>
            <color indexed="81"/>
            <rFont val="Tahoma"/>
            <family val="2"/>
          </rPr>
          <t>Sweta Sheth:
Includes Communication, Telecom OEM and Media</t>
        </r>
      </text>
    </comment>
    <comment ref="I90" authorId="0" shapeId="0" xr:uid="{0AB08E0C-604C-4BE8-892E-9B4AD5675D55}">
      <text>
        <r>
          <rPr>
            <sz val="9"/>
            <color indexed="81"/>
            <rFont val="Tahoma"/>
            <family val="2"/>
          </rPr>
          <t>Sweta Sheth:
Includes Life Sciences and Health care</t>
        </r>
      </text>
    </comment>
    <comment ref="J90" authorId="0" shapeId="0" xr:uid="{46B024EB-C45A-489B-9123-6B4B2235FD1F}">
      <text>
        <r>
          <rPr>
            <sz val="9"/>
            <color indexed="81"/>
            <rFont val="Tahoma"/>
            <family val="2"/>
          </rPr>
          <t>Sweta Sheth:
Includes India, Japan, China, Infosys Public Services and other enterprises in Public services</t>
        </r>
      </text>
    </comment>
    <comment ref="C104" authorId="0" shapeId="0" xr:uid="{D7BF6934-963F-4C2E-ADB2-1F8CECC933FA}">
      <text>
        <r>
          <rPr>
            <sz val="9"/>
            <color indexed="81"/>
            <rFont val="Tahoma"/>
            <family val="2"/>
          </rPr>
          <t>Sweta Sheth:
Includes 
Financial Services and Insurance</t>
        </r>
      </text>
    </comment>
    <comment ref="D104" authorId="0" shapeId="0" xr:uid="{97F36271-46D2-4269-BE26-A378A8FE1307}">
      <text>
        <r>
          <rPr>
            <sz val="9"/>
            <color indexed="81"/>
            <rFont val="Tahoma"/>
            <family val="2"/>
          </rPr>
          <t>Sweta Sheth:
Includes Retail, Consumer Packaged Goods and Logistics</t>
        </r>
      </text>
    </comment>
    <comment ref="E104" authorId="0" shapeId="0" xr:uid="{7251777C-04B2-458B-9917-2E8DD48D5A5A}">
      <text>
        <r>
          <rPr>
            <sz val="9"/>
            <color indexed="81"/>
            <rFont val="Tahoma"/>
            <family val="2"/>
          </rPr>
          <t>Sweta Sheth:
Includes Communication, Telecom OEM and Media</t>
        </r>
      </text>
    </comment>
    <comment ref="I104" authorId="0" shapeId="0" xr:uid="{A3A96104-2817-4F2E-AF94-C6229F3165EC}">
      <text>
        <r>
          <rPr>
            <sz val="9"/>
            <color indexed="81"/>
            <rFont val="Tahoma"/>
            <family val="2"/>
          </rPr>
          <t>Sweta Sheth:
Includes Life Sciences and Health care</t>
        </r>
      </text>
    </comment>
    <comment ref="J104" authorId="0" shapeId="0" xr:uid="{2E628152-4410-4753-BB85-D481B4A2D193}">
      <text>
        <r>
          <rPr>
            <sz val="9"/>
            <color indexed="81"/>
            <rFont val="Tahoma"/>
            <family val="2"/>
          </rPr>
          <t>Sweta Sheth:
Includes India, Japan, China, Infosys Public Services and other enterprises in Public services</t>
        </r>
      </text>
    </comment>
    <comment ref="C119" authorId="0" shapeId="0" xr:uid="{03ED59B0-3ECA-4516-8126-AE5091A1C124}">
      <text>
        <r>
          <rPr>
            <sz val="9"/>
            <color indexed="81"/>
            <rFont val="Tahoma"/>
            <family val="2"/>
          </rPr>
          <t>Sweta Sheth:
Includes 
Financial Services and Insurance</t>
        </r>
      </text>
    </comment>
    <comment ref="D119" authorId="0" shapeId="0" xr:uid="{6986DFB7-C373-40E3-8986-8F63B9023492}">
      <text>
        <r>
          <rPr>
            <sz val="9"/>
            <color indexed="81"/>
            <rFont val="Tahoma"/>
            <family val="2"/>
          </rPr>
          <t>Sweta Sheth:
Includes Retail, Consumer Packaged Goods and Logistics</t>
        </r>
      </text>
    </comment>
    <comment ref="E119" authorId="0" shapeId="0" xr:uid="{1998A98B-9108-4BE7-8E83-6765B69433D7}">
      <text>
        <r>
          <rPr>
            <sz val="9"/>
            <color indexed="81"/>
            <rFont val="Tahoma"/>
            <family val="2"/>
          </rPr>
          <t>Sweta Sheth:
Includes Communication, Telecom OEM and Media</t>
        </r>
      </text>
    </comment>
    <comment ref="I119" authorId="0" shapeId="0" xr:uid="{8149DCA0-24EA-473E-8272-37CE8018225E}">
      <text>
        <r>
          <rPr>
            <sz val="9"/>
            <color indexed="81"/>
            <rFont val="Tahoma"/>
            <family val="2"/>
          </rPr>
          <t>Sweta Sheth:
Includes Life Sciences and Health care</t>
        </r>
      </text>
    </comment>
    <comment ref="J119" authorId="0" shapeId="0" xr:uid="{875651DF-52E5-4F2E-B395-FD6EF1AF985F}">
      <text>
        <r>
          <rPr>
            <sz val="9"/>
            <color indexed="81"/>
            <rFont val="Tahoma"/>
            <family val="2"/>
          </rPr>
          <t>Sweta Sheth:
Includes India, Japan, China, Infosys Public Services and other enterprises in Public services</t>
        </r>
      </text>
    </comment>
    <comment ref="C134" authorId="0" shapeId="0" xr:uid="{256F9FB7-5D08-48ED-B747-3F0F357E601E}">
      <text>
        <r>
          <rPr>
            <sz val="9"/>
            <color indexed="81"/>
            <rFont val="Tahoma"/>
            <family val="2"/>
          </rPr>
          <t>Sweta Sheth:
Includes 
Financial Services and Insurance</t>
        </r>
      </text>
    </comment>
    <comment ref="D134" authorId="0" shapeId="0" xr:uid="{3D52EEAB-E586-4C3B-8D23-693C9A0FA47D}">
      <text>
        <r>
          <rPr>
            <sz val="9"/>
            <color indexed="81"/>
            <rFont val="Tahoma"/>
            <family val="2"/>
          </rPr>
          <t>Sweta Sheth:
Includes Retail, Consumer Packaged Goods and Logistics</t>
        </r>
      </text>
    </comment>
    <comment ref="E134" authorId="0" shapeId="0" xr:uid="{D1589075-E097-4623-A6FE-FEE0E6EC2461}">
      <text>
        <r>
          <rPr>
            <sz val="9"/>
            <color indexed="81"/>
            <rFont val="Tahoma"/>
            <family val="2"/>
          </rPr>
          <t>Sweta Sheth:
Includes Communication, Telecom OEM and Media</t>
        </r>
      </text>
    </comment>
    <comment ref="I134" authorId="0" shapeId="0" xr:uid="{01F0E12B-03D5-47AC-9629-6769E4DFCCC1}">
      <text>
        <r>
          <rPr>
            <sz val="9"/>
            <color indexed="81"/>
            <rFont val="Tahoma"/>
            <family val="2"/>
          </rPr>
          <t>Sweta Sheth:
Includes Life Sciences and Health care</t>
        </r>
      </text>
    </comment>
    <comment ref="J134" authorId="0" shapeId="0" xr:uid="{0CFEB7DD-12EF-4228-B645-169DCD7E2846}">
      <text>
        <r>
          <rPr>
            <sz val="9"/>
            <color indexed="81"/>
            <rFont val="Tahoma"/>
            <family val="2"/>
          </rPr>
          <t>Sweta Sheth:
Includes India, Japan, China, Infosys Public Services and other enterprises in Public services</t>
        </r>
      </text>
    </comment>
    <comment ref="C149" authorId="0" shapeId="0" xr:uid="{07D42671-DDB0-474F-A66D-6B5FAEEFDFAF}">
      <text>
        <r>
          <rPr>
            <sz val="9"/>
            <color indexed="81"/>
            <rFont val="Tahoma"/>
            <family val="2"/>
          </rPr>
          <t>Sweta Sheth:
Includes 
Financial Services and Insurance</t>
        </r>
      </text>
    </comment>
    <comment ref="D149" authorId="0" shapeId="0" xr:uid="{D84F89C2-C056-4BE0-9CEE-7FEA3AF43168}">
      <text>
        <r>
          <rPr>
            <sz val="9"/>
            <color indexed="81"/>
            <rFont val="Tahoma"/>
            <family val="2"/>
          </rPr>
          <t>Sweta Sheth:
Includes Retail, Consumer Packaged Goods and Logistics</t>
        </r>
      </text>
    </comment>
    <comment ref="E149" authorId="0" shapeId="0" xr:uid="{A242387B-2F38-4294-80D4-539371959923}">
      <text>
        <r>
          <rPr>
            <sz val="9"/>
            <color indexed="81"/>
            <rFont val="Tahoma"/>
            <family val="2"/>
          </rPr>
          <t>Sweta Sheth:
Includes Communication, Telecom OEM and Media</t>
        </r>
      </text>
    </comment>
    <comment ref="I149" authorId="0" shapeId="0" xr:uid="{330EDF68-EC76-4FE1-B479-A14EF922EDFC}">
      <text>
        <r>
          <rPr>
            <sz val="9"/>
            <color indexed="81"/>
            <rFont val="Tahoma"/>
            <family val="2"/>
          </rPr>
          <t>Sweta Sheth:
Includes Life Sciences and Health care</t>
        </r>
      </text>
    </comment>
    <comment ref="J149" authorId="0" shapeId="0" xr:uid="{6686BCB8-B9A6-4309-856E-A82D113B86A5}">
      <text>
        <r>
          <rPr>
            <sz val="9"/>
            <color indexed="81"/>
            <rFont val="Tahoma"/>
            <family val="2"/>
          </rPr>
          <t>Sweta Sheth:
Includes India, Japan, China, Infosys Public Services and other enterprises in Public services</t>
        </r>
      </text>
    </comment>
    <comment ref="C164" authorId="0" shapeId="0" xr:uid="{C59FFAB3-41A4-41FE-978B-22636360B63D}">
      <text>
        <r>
          <rPr>
            <sz val="9"/>
            <color indexed="81"/>
            <rFont val="Tahoma"/>
            <family val="2"/>
          </rPr>
          <t>Sweta Sheth:
Includes 
Financial Services and Insurance</t>
        </r>
      </text>
    </comment>
    <comment ref="D164" authorId="0" shapeId="0" xr:uid="{DDF44E47-8D44-4603-A1A8-1265DA900419}">
      <text>
        <r>
          <rPr>
            <sz val="9"/>
            <color indexed="81"/>
            <rFont val="Tahoma"/>
            <family val="2"/>
          </rPr>
          <t>Sweta Sheth:
Includes Retail, Consumer Packaged Goods and Logistics</t>
        </r>
      </text>
    </comment>
    <comment ref="E164" authorId="0" shapeId="0" xr:uid="{64A3CA8A-0BF4-47BE-8D91-C03318A48389}">
      <text>
        <r>
          <rPr>
            <sz val="9"/>
            <color indexed="81"/>
            <rFont val="Tahoma"/>
            <family val="2"/>
          </rPr>
          <t>Sweta Sheth:
Includes Communication, Telecom OEM and Media</t>
        </r>
      </text>
    </comment>
    <comment ref="I164" authorId="0" shapeId="0" xr:uid="{1A9FB222-3466-4A6F-A027-04F7F2248690}">
      <text>
        <r>
          <rPr>
            <sz val="9"/>
            <color indexed="81"/>
            <rFont val="Tahoma"/>
            <family val="2"/>
          </rPr>
          <t>Sweta Sheth:
Includes Life Sciences and Health care</t>
        </r>
      </text>
    </comment>
    <comment ref="J164" authorId="0" shapeId="0" xr:uid="{930724D4-500F-4592-8CBC-5FD483AFFD1C}">
      <text>
        <r>
          <rPr>
            <sz val="9"/>
            <color indexed="81"/>
            <rFont val="Tahoma"/>
            <family val="2"/>
          </rPr>
          <t>Sweta Sheth:
Includes India, Japan, China, Infosys Public Services and other enterprises in Public services</t>
        </r>
      </text>
    </comment>
    <comment ref="C179" authorId="0" shapeId="0" xr:uid="{40B1028A-9F98-45E3-8333-DBF721F24FD4}">
      <text>
        <r>
          <rPr>
            <sz val="9"/>
            <color indexed="81"/>
            <rFont val="Tahoma"/>
            <family val="2"/>
          </rPr>
          <t>Sweta Sheth:
Includes 
Financial Services and Insurance</t>
        </r>
      </text>
    </comment>
    <comment ref="D179" authorId="0" shapeId="0" xr:uid="{5F935BBB-DF15-4400-AD6B-9C4597F631E3}">
      <text>
        <r>
          <rPr>
            <sz val="9"/>
            <color indexed="81"/>
            <rFont val="Tahoma"/>
            <family val="2"/>
          </rPr>
          <t>Sweta Sheth:
Includes Retail, Consumer Packaged Goods and Logistics</t>
        </r>
      </text>
    </comment>
    <comment ref="E179" authorId="0" shapeId="0" xr:uid="{C5BD798E-42FA-424F-A714-2DDA1B30B0CB}">
      <text>
        <r>
          <rPr>
            <sz val="9"/>
            <color indexed="81"/>
            <rFont val="Tahoma"/>
            <family val="2"/>
          </rPr>
          <t>Sweta Sheth:
Includes Communication, Telecom OEM and Media</t>
        </r>
      </text>
    </comment>
    <comment ref="I179" authorId="0" shapeId="0" xr:uid="{43856EB5-CD90-41AA-8712-A379A63DC2A1}">
      <text>
        <r>
          <rPr>
            <sz val="9"/>
            <color indexed="81"/>
            <rFont val="Tahoma"/>
            <family val="2"/>
          </rPr>
          <t>Sweta Sheth:
Includes Life Sciences and Health care</t>
        </r>
      </text>
    </comment>
    <comment ref="J179" authorId="0" shapeId="0" xr:uid="{D1BA2FFC-82E4-4E6D-B9C6-E4BF0B77E580}">
      <text>
        <r>
          <rPr>
            <sz val="9"/>
            <color indexed="81"/>
            <rFont val="Tahoma"/>
            <family val="2"/>
          </rPr>
          <t>Sweta Sheth:
Includes India, Japan, China, Infosys Public Services and other enterprises in Public services</t>
        </r>
      </text>
    </comment>
    <comment ref="C194" authorId="0" shapeId="0" xr:uid="{E3793FF8-7CAF-42CB-93BB-95BF0EFF3CA4}">
      <text>
        <r>
          <rPr>
            <sz val="9"/>
            <color indexed="81"/>
            <rFont val="Tahoma"/>
            <family val="2"/>
          </rPr>
          <t>Sweta Sheth:
Includes 
Financial Services and Insurance</t>
        </r>
      </text>
    </comment>
    <comment ref="D194" authorId="0" shapeId="0" xr:uid="{5C3B2AB2-E392-48AD-874D-E11852D07DA1}">
      <text>
        <r>
          <rPr>
            <sz val="9"/>
            <color indexed="81"/>
            <rFont val="Tahoma"/>
            <family val="2"/>
          </rPr>
          <t>Sweta Sheth:
Includes Retail, Consumer Packaged Goods and Logistics</t>
        </r>
      </text>
    </comment>
    <comment ref="E194" authorId="0" shapeId="0" xr:uid="{F9B02387-4FBE-4985-B771-AD775CB7042E}">
      <text>
        <r>
          <rPr>
            <sz val="9"/>
            <color indexed="81"/>
            <rFont val="Tahoma"/>
            <family val="2"/>
          </rPr>
          <t>Sweta Sheth:
Includes Communication, Telecom OEM and Media</t>
        </r>
      </text>
    </comment>
    <comment ref="I194" authorId="0" shapeId="0" xr:uid="{DA4BADAD-1F7F-44AC-94D8-C6F426BB2FDF}">
      <text>
        <r>
          <rPr>
            <sz val="9"/>
            <color indexed="81"/>
            <rFont val="Tahoma"/>
            <family val="2"/>
          </rPr>
          <t>Sweta Sheth:
Includes Life Sciences and Health care</t>
        </r>
      </text>
    </comment>
    <comment ref="J194" authorId="0" shapeId="0" xr:uid="{20111254-7648-45D7-99F1-BF650C973A1E}">
      <text>
        <r>
          <rPr>
            <sz val="9"/>
            <color indexed="81"/>
            <rFont val="Tahoma"/>
            <family val="2"/>
          </rPr>
          <t>Sweta Sheth:
Includes India, Japan, China, Infosys Public Services and other enterprises in Public services</t>
        </r>
      </text>
    </comment>
    <comment ref="C209" authorId="0" shapeId="0" xr:uid="{5D759698-22D4-4386-9059-F2FAEDA2C02A}">
      <text>
        <r>
          <rPr>
            <sz val="9"/>
            <color indexed="81"/>
            <rFont val="Tahoma"/>
            <family val="2"/>
          </rPr>
          <t>Sweta Sheth:
Includes 
Financial Services and Insurance</t>
        </r>
      </text>
    </comment>
    <comment ref="D209" authorId="0" shapeId="0" xr:uid="{73A0CE5C-68E6-4F41-B892-12815EA4207A}">
      <text>
        <r>
          <rPr>
            <sz val="9"/>
            <color indexed="81"/>
            <rFont val="Tahoma"/>
            <family val="2"/>
          </rPr>
          <t>Sweta Sheth:
Includes Retail, Consumer Packaged Goods and Logistics</t>
        </r>
      </text>
    </comment>
    <comment ref="E209" authorId="0" shapeId="0" xr:uid="{D15D4322-C99A-412B-BEC7-FBD2BE14179E}">
      <text>
        <r>
          <rPr>
            <sz val="9"/>
            <color indexed="81"/>
            <rFont val="Tahoma"/>
            <family val="2"/>
          </rPr>
          <t>Sweta Sheth:
Includes Communication, Telecom OEM and Media</t>
        </r>
      </text>
    </comment>
    <comment ref="I209" authorId="0" shapeId="0" xr:uid="{E4CBE1D8-447D-4960-8AD8-0D3617F5E828}">
      <text>
        <r>
          <rPr>
            <sz val="9"/>
            <color indexed="81"/>
            <rFont val="Tahoma"/>
            <family val="2"/>
          </rPr>
          <t>Sweta Sheth:
Includes Life Sciences and Health care</t>
        </r>
      </text>
    </comment>
    <comment ref="J209" authorId="0" shapeId="0" xr:uid="{C1AD40A5-4F51-4D5B-8AB9-417E4CC9299F}">
      <text>
        <r>
          <rPr>
            <sz val="9"/>
            <color indexed="81"/>
            <rFont val="Tahoma"/>
            <family val="2"/>
          </rPr>
          <t>Sweta Sheth:
Includes India, Japan, China, Infosys Public Services and other enterprises in Public services</t>
        </r>
      </text>
    </comment>
    <comment ref="C224" authorId="0" shapeId="0" xr:uid="{E16FBC74-EE8C-49CC-B6A7-AEEB50371749}">
      <text>
        <r>
          <rPr>
            <sz val="9"/>
            <color indexed="81"/>
            <rFont val="Tahoma"/>
            <family val="2"/>
          </rPr>
          <t>Sweta Sheth:
Includes 
Financial Services and Insurance</t>
        </r>
      </text>
    </comment>
    <comment ref="D224" authorId="0" shapeId="0" xr:uid="{1AF552A2-C5A1-47F3-AB30-80DF25BD8044}">
      <text>
        <r>
          <rPr>
            <sz val="9"/>
            <color indexed="81"/>
            <rFont val="Tahoma"/>
            <family val="2"/>
          </rPr>
          <t>Sweta Sheth:
Includes Retail, Consumer Packaged Goods and Logistics</t>
        </r>
      </text>
    </comment>
    <comment ref="E224" authorId="0" shapeId="0" xr:uid="{3ED514FA-F202-41CD-8748-180214837EF4}">
      <text>
        <r>
          <rPr>
            <sz val="9"/>
            <color indexed="81"/>
            <rFont val="Tahoma"/>
            <family val="2"/>
          </rPr>
          <t>Sweta Sheth:
Includes Communication, Telecom OEM and Media</t>
        </r>
      </text>
    </comment>
    <comment ref="I224" authorId="0" shapeId="0" xr:uid="{C5A84A7D-EAE7-4D93-9CD8-9FC8985FBB6C}">
      <text>
        <r>
          <rPr>
            <sz val="9"/>
            <color indexed="81"/>
            <rFont val="Tahoma"/>
            <family val="2"/>
          </rPr>
          <t>Sweta Sheth:
Includes Life Sciences and Health care</t>
        </r>
      </text>
    </comment>
    <comment ref="J224" authorId="0" shapeId="0" xr:uid="{8228CD91-4B4E-429E-96FB-11E0F89689F0}">
      <text>
        <r>
          <rPr>
            <sz val="9"/>
            <color indexed="81"/>
            <rFont val="Tahoma"/>
            <family val="2"/>
          </rPr>
          <t>Sweta Sheth:
Includes India, Japan, China, Infosys Public Services and other enterprises in Public services</t>
        </r>
      </text>
    </comment>
    <comment ref="C239" authorId="0" shapeId="0" xr:uid="{5AEA767C-056D-4A88-88A9-D75E8FEE0DA0}">
      <text>
        <r>
          <rPr>
            <sz val="9"/>
            <color indexed="81"/>
            <rFont val="Tahoma"/>
            <family val="2"/>
          </rPr>
          <t>Sweta Sheth:
Includes 
Financial Services and Insurance</t>
        </r>
      </text>
    </comment>
    <comment ref="D239" authorId="0" shapeId="0" xr:uid="{9967CB12-D766-48ED-98AC-E8F107C4FA35}">
      <text>
        <r>
          <rPr>
            <sz val="9"/>
            <color indexed="81"/>
            <rFont val="Tahoma"/>
            <family val="2"/>
          </rPr>
          <t>Sweta Sheth:
Includes Retail, Consumer Packaged Goods and Logistics</t>
        </r>
      </text>
    </comment>
    <comment ref="E239" authorId="0" shapeId="0" xr:uid="{3BA70AE0-66C1-4291-BA49-67B60AE145FC}">
      <text>
        <r>
          <rPr>
            <sz val="9"/>
            <color indexed="81"/>
            <rFont val="Tahoma"/>
            <family val="2"/>
          </rPr>
          <t>Sweta Sheth:
Includes Communication, Telecom OEM and Media</t>
        </r>
      </text>
    </comment>
    <comment ref="I239" authorId="0" shapeId="0" xr:uid="{6BBF15EA-F1CE-4756-B28F-3A0849735392}">
      <text>
        <r>
          <rPr>
            <sz val="9"/>
            <color indexed="81"/>
            <rFont val="Tahoma"/>
            <family val="2"/>
          </rPr>
          <t>Sweta Sheth:
Includes Life Sciences and Health care</t>
        </r>
      </text>
    </comment>
    <comment ref="J239" authorId="0" shapeId="0" xr:uid="{93095227-1DE1-47D7-ADA1-6C1A70DB27B4}">
      <text>
        <r>
          <rPr>
            <sz val="9"/>
            <color indexed="81"/>
            <rFont val="Tahoma"/>
            <family val="2"/>
          </rPr>
          <t>Sweta Sheth:
Includes India, Japan, China, Infosys Public Services and other enterprises in Public services</t>
        </r>
      </text>
    </comment>
    <comment ref="C254" authorId="0" shapeId="0" xr:uid="{39BDA6D5-1AC9-4B46-822F-2870A0F09D32}">
      <text>
        <r>
          <rPr>
            <sz val="9"/>
            <color indexed="81"/>
            <rFont val="Tahoma"/>
            <family val="2"/>
          </rPr>
          <t>Sweta Sheth:
Includes 
Financial Services and Insurance</t>
        </r>
      </text>
    </comment>
    <comment ref="D254" authorId="0" shapeId="0" xr:uid="{5C712711-65A7-4E14-AAC3-1221B58FC26C}">
      <text>
        <r>
          <rPr>
            <sz val="9"/>
            <color indexed="81"/>
            <rFont val="Tahoma"/>
            <family val="2"/>
          </rPr>
          <t>Sweta Sheth:
Includes Retail, Consumer Packaged Goods and Logistics</t>
        </r>
      </text>
    </comment>
    <comment ref="E254" authorId="0" shapeId="0" xr:uid="{B138FD62-AC0E-40E2-AF76-901F14502DE1}">
      <text>
        <r>
          <rPr>
            <sz val="9"/>
            <color indexed="81"/>
            <rFont val="Tahoma"/>
            <family val="2"/>
          </rPr>
          <t>Sweta Sheth:
Includes Communication, Telecom OEM and Media</t>
        </r>
      </text>
    </comment>
    <comment ref="I254" authorId="0" shapeId="0" xr:uid="{3B86EA59-93C7-41FA-ACF8-05435CB3B4D5}">
      <text>
        <r>
          <rPr>
            <sz val="9"/>
            <color indexed="81"/>
            <rFont val="Tahoma"/>
            <family val="2"/>
          </rPr>
          <t>Sweta Sheth:
Includes Life Sciences and Health care</t>
        </r>
      </text>
    </comment>
    <comment ref="J254" authorId="0" shapeId="0" xr:uid="{96A9E0B5-7E5F-463B-899B-B73E20EB46D1}">
      <text>
        <r>
          <rPr>
            <sz val="9"/>
            <color indexed="81"/>
            <rFont val="Tahoma"/>
            <family val="2"/>
          </rPr>
          <t>Sweta Sheth:
Includes India, Japan, China, Infosys Public Services and other enterprises in Public services</t>
        </r>
      </text>
    </comment>
    <comment ref="C270" authorId="0" shapeId="0" xr:uid="{73387EFF-6FA8-4F17-B362-A1F60F64B48F}">
      <text>
        <r>
          <rPr>
            <sz val="9"/>
            <color indexed="81"/>
            <rFont val="Tahoma"/>
            <family val="2"/>
          </rPr>
          <t>Sweta Sheth:
Includes 
Financial Services and Insurance</t>
        </r>
      </text>
    </comment>
    <comment ref="D270" authorId="0" shapeId="0" xr:uid="{DC9B366A-61C9-4D9E-AEFB-D8F371B36E51}">
      <text>
        <r>
          <rPr>
            <sz val="9"/>
            <color indexed="81"/>
            <rFont val="Tahoma"/>
            <family val="2"/>
          </rPr>
          <t>Sweta Sheth:
Includes Retail, Consumer Packaged Goods and Logistics</t>
        </r>
      </text>
    </comment>
    <comment ref="E270" authorId="0" shapeId="0" xr:uid="{5EA3EBE8-7D38-4054-82D1-38060A8ED491}">
      <text>
        <r>
          <rPr>
            <sz val="9"/>
            <color indexed="81"/>
            <rFont val="Tahoma"/>
            <family val="2"/>
          </rPr>
          <t>Sweta Sheth:
Includes Communication, Telecom OEM and Media</t>
        </r>
      </text>
    </comment>
    <comment ref="I270" authorId="0" shapeId="0" xr:uid="{506833A1-E710-47A7-9431-455705B19EC3}">
      <text>
        <r>
          <rPr>
            <sz val="9"/>
            <color indexed="81"/>
            <rFont val="Tahoma"/>
            <family val="2"/>
          </rPr>
          <t>Sweta Sheth:
Includes Life Sciences and Health care</t>
        </r>
      </text>
    </comment>
    <comment ref="J270" authorId="0" shapeId="0" xr:uid="{7264E750-4B58-4632-B4E2-95A513DAA534}">
      <text>
        <r>
          <rPr>
            <sz val="9"/>
            <color indexed="81"/>
            <rFont val="Tahoma"/>
            <family val="2"/>
          </rPr>
          <t>Sweta Sheth:
Includes India, Japan, China, Infosys Public Services and other enterprises in Public services</t>
        </r>
      </text>
    </comment>
    <comment ref="C285" authorId="0" shapeId="0" xr:uid="{745E339F-0CBE-4E03-8ACC-D76AC0C5691C}">
      <text>
        <r>
          <rPr>
            <sz val="9"/>
            <color indexed="81"/>
            <rFont val="Tahoma"/>
            <family val="2"/>
          </rPr>
          <t>Sweta Sheth:
Includes 
Financial Services and Insurance</t>
        </r>
      </text>
    </comment>
    <comment ref="D285" authorId="0" shapeId="0" xr:uid="{4646F57E-E1E6-4171-9CC0-AA63EA2DD7EF}">
      <text>
        <r>
          <rPr>
            <sz val="9"/>
            <color indexed="81"/>
            <rFont val="Tahoma"/>
            <family val="2"/>
          </rPr>
          <t>Sweta Sheth:
Includes Retail, Consumer Packaged Goods and Logistics</t>
        </r>
      </text>
    </comment>
    <comment ref="E285" authorId="0" shapeId="0" xr:uid="{28C2244B-C887-4C65-8E11-4881728D1BE8}">
      <text>
        <r>
          <rPr>
            <sz val="9"/>
            <color indexed="81"/>
            <rFont val="Tahoma"/>
            <family val="2"/>
          </rPr>
          <t>Sweta Sheth:
Includes Communication, Telecom OEM and Media</t>
        </r>
      </text>
    </comment>
    <comment ref="I285" authorId="0" shapeId="0" xr:uid="{61DCCC1C-095A-49DF-A8C0-1A3520AF79F3}">
      <text>
        <r>
          <rPr>
            <sz val="9"/>
            <color indexed="81"/>
            <rFont val="Tahoma"/>
            <family val="2"/>
          </rPr>
          <t>Sweta Sheth:
Includes Life Sciences and Health care</t>
        </r>
      </text>
    </comment>
    <comment ref="J285" authorId="0" shapeId="0" xr:uid="{CB4A3546-C062-4442-8FC8-9DA31015462B}">
      <text>
        <r>
          <rPr>
            <sz val="9"/>
            <color indexed="81"/>
            <rFont val="Tahoma"/>
            <family val="2"/>
          </rPr>
          <t>Sweta Sheth:
Includes India, Japan, China, Infosys Public Services and other enterprises in Public services</t>
        </r>
      </text>
    </comment>
    <comment ref="C301" authorId="0" shapeId="0" xr:uid="{090A5E50-5AFD-46F7-896D-2703DE935C7F}">
      <text>
        <r>
          <rPr>
            <sz val="9"/>
            <color indexed="81"/>
            <rFont val="Tahoma"/>
            <family val="2"/>
          </rPr>
          <t>Sweta Sheth:
Includes 
Financial Services and Insurance</t>
        </r>
      </text>
    </comment>
    <comment ref="D301" authorId="0" shapeId="0" xr:uid="{E43B5B06-52B8-4427-907F-F2B50955EF2F}">
      <text>
        <r>
          <rPr>
            <sz val="9"/>
            <color indexed="81"/>
            <rFont val="Tahoma"/>
            <family val="2"/>
          </rPr>
          <t>Sweta Sheth:
Includes Retail, Consumer Packaged Goods and Logistics</t>
        </r>
      </text>
    </comment>
    <comment ref="E301" authorId="0" shapeId="0" xr:uid="{2A017163-8A6E-497A-B7F9-68F89B031659}">
      <text>
        <r>
          <rPr>
            <sz val="9"/>
            <color indexed="81"/>
            <rFont val="Tahoma"/>
            <family val="2"/>
          </rPr>
          <t>Sweta Sheth:
Includes Communication, Telecom OEM and Media</t>
        </r>
      </text>
    </comment>
    <comment ref="I301" authorId="0" shapeId="0" xr:uid="{955D7C5A-9B69-4904-ACBB-ABD0E25FF2CB}">
      <text>
        <r>
          <rPr>
            <sz val="9"/>
            <color indexed="81"/>
            <rFont val="Tahoma"/>
            <family val="2"/>
          </rPr>
          <t>Sweta Sheth:
Includes Life Sciences and Health care</t>
        </r>
      </text>
    </comment>
    <comment ref="J301" authorId="0" shapeId="0" xr:uid="{25CD7AC1-E5E7-45F0-A78E-6F203D1674AE}">
      <text>
        <r>
          <rPr>
            <sz val="9"/>
            <color indexed="81"/>
            <rFont val="Tahoma"/>
            <family val="2"/>
          </rPr>
          <t>Sweta Sheth:
Includes India, Japan, China, Infosys Public Services and other enterprises in Public services</t>
        </r>
      </text>
    </comment>
    <comment ref="C330" authorId="0" shapeId="0" xr:uid="{CBE11989-CD51-4F77-A05A-9D2B9651B069}">
      <text>
        <r>
          <rPr>
            <sz val="9"/>
            <color indexed="81"/>
            <rFont val="Tahoma"/>
            <family val="2"/>
          </rPr>
          <t>Sweta Sheth:
Includes 
Financial Services and Insurance</t>
        </r>
      </text>
    </comment>
    <comment ref="D330" authorId="0" shapeId="0" xr:uid="{FC7ED70E-955D-4ED5-B6E6-62100641942C}">
      <text>
        <r>
          <rPr>
            <sz val="9"/>
            <color indexed="81"/>
            <rFont val="Tahoma"/>
            <family val="2"/>
          </rPr>
          <t>Sweta Sheth:
Includes Retail, Consumer Packaged Goods and Logistics</t>
        </r>
      </text>
    </comment>
    <comment ref="E330" authorId="0" shapeId="0" xr:uid="{695B9BA8-E134-441F-9D90-8FD0B8635E70}">
      <text>
        <r>
          <rPr>
            <sz val="9"/>
            <color indexed="81"/>
            <rFont val="Tahoma"/>
            <family val="2"/>
          </rPr>
          <t>Sweta Sheth:
Includes Communication, Telecom OEM and Media</t>
        </r>
      </text>
    </comment>
    <comment ref="I330" authorId="0" shapeId="0" xr:uid="{C7652518-9759-4594-BFE4-1DDC674B30BB}">
      <text>
        <r>
          <rPr>
            <sz val="9"/>
            <color indexed="81"/>
            <rFont val="Tahoma"/>
            <family val="2"/>
          </rPr>
          <t>Sweta Sheth:
Includes Life Sciences and Health care</t>
        </r>
      </text>
    </comment>
    <comment ref="J330" authorId="0" shapeId="0" xr:uid="{35B207F9-958D-4918-BE55-0005FCF1BBA5}">
      <text>
        <r>
          <rPr>
            <sz val="9"/>
            <color indexed="81"/>
            <rFont val="Tahoma"/>
            <family val="2"/>
          </rPr>
          <t>Sweta Sheth:
Includes India, Japan, China, Infosys Public Services and other enterprises in Public services</t>
        </r>
      </text>
    </comment>
    <comment ref="C359" authorId="0" shapeId="0" xr:uid="{D729FFFF-1E97-4590-B788-1D1AF9AF2E72}">
      <text>
        <r>
          <rPr>
            <sz val="9"/>
            <color indexed="81"/>
            <rFont val="Tahoma"/>
            <family val="2"/>
          </rPr>
          <t>Sweta Sheth:
Includes 
Financial Services and Insurance</t>
        </r>
      </text>
    </comment>
    <comment ref="D359" authorId="0" shapeId="0" xr:uid="{10BF7591-56AB-41AC-AADF-6981F434FA8E}">
      <text>
        <r>
          <rPr>
            <sz val="9"/>
            <color indexed="81"/>
            <rFont val="Tahoma"/>
            <family val="2"/>
          </rPr>
          <t>Sweta Sheth:
Includes Retail, Consumer Packaged Goods and Logistics</t>
        </r>
      </text>
    </comment>
    <comment ref="E359" authorId="0" shapeId="0" xr:uid="{B496DF62-43AA-4C6C-8622-7454CFCE1987}">
      <text>
        <r>
          <rPr>
            <sz val="9"/>
            <color indexed="81"/>
            <rFont val="Tahoma"/>
            <family val="2"/>
          </rPr>
          <t>Sweta Sheth:
Includes Communication, Telecom OEM and Media</t>
        </r>
      </text>
    </comment>
    <comment ref="I359" authorId="0" shapeId="0" xr:uid="{9DC87A43-E769-4118-96A2-16C87872B657}">
      <text>
        <r>
          <rPr>
            <sz val="9"/>
            <color indexed="81"/>
            <rFont val="Tahoma"/>
            <family val="2"/>
          </rPr>
          <t>Sweta Sheth:
Includes Life Sciences and Health care</t>
        </r>
      </text>
    </comment>
    <comment ref="J359" authorId="0" shapeId="0" xr:uid="{E03744B4-4B2C-4077-B37E-39D5CB07CA3C}">
      <text>
        <r>
          <rPr>
            <sz val="9"/>
            <color indexed="81"/>
            <rFont val="Tahoma"/>
            <family val="2"/>
          </rPr>
          <t>Sweta Sheth:
Includes India, Japan, China, Infosys Public Services and other enterprises in Public services</t>
        </r>
      </text>
    </comment>
    <comment ref="C388" authorId="0" shapeId="0" xr:uid="{D0BA0F6D-CC88-48CF-AE9D-135CEF4DBD64}">
      <text>
        <r>
          <rPr>
            <sz val="9"/>
            <color indexed="81"/>
            <rFont val="Tahoma"/>
            <family val="2"/>
          </rPr>
          <t>Sweta Sheth:
Includes 
Financial Services and Insurance</t>
        </r>
      </text>
    </comment>
    <comment ref="D388" authorId="0" shapeId="0" xr:uid="{BCF1B47F-683A-4A1A-97DB-37DD63A9BF76}">
      <text>
        <r>
          <rPr>
            <sz val="9"/>
            <color indexed="81"/>
            <rFont val="Tahoma"/>
            <family val="2"/>
          </rPr>
          <t>Sweta Sheth:
Includes Retail, Consumer Packaged Goods and Logistics</t>
        </r>
      </text>
    </comment>
    <comment ref="E388" authorId="0" shapeId="0" xr:uid="{63E77B7A-E7D2-46AC-B2AF-8D3035C6FEFD}">
      <text>
        <r>
          <rPr>
            <sz val="9"/>
            <color indexed="81"/>
            <rFont val="Tahoma"/>
            <family val="2"/>
          </rPr>
          <t>Sweta Sheth:
Includes Communication, Telecom OEM and Media</t>
        </r>
      </text>
    </comment>
    <comment ref="I388" authorId="0" shapeId="0" xr:uid="{0FA5326C-3BA2-4F10-BAF4-C0DCF75E6C4B}">
      <text>
        <r>
          <rPr>
            <sz val="9"/>
            <color indexed="81"/>
            <rFont val="Tahoma"/>
            <family val="2"/>
          </rPr>
          <t>Sweta Sheth:
Includes Life Sciences and Health care</t>
        </r>
      </text>
    </comment>
    <comment ref="J388" authorId="0" shapeId="0" xr:uid="{F57DDCF5-97DE-47E5-B07E-3C4FDDB6CBDE}">
      <text>
        <r>
          <rPr>
            <sz val="9"/>
            <color indexed="81"/>
            <rFont val="Tahoma"/>
            <family val="2"/>
          </rPr>
          <t>Sweta Sheth:
Includes India, Japan, China, Infosys Public Services and other enterprises in Public services</t>
        </r>
      </text>
    </comment>
    <comment ref="C418" authorId="0" shapeId="0" xr:uid="{6D22A467-E717-463A-A28D-FB503045938A}">
      <text>
        <r>
          <rPr>
            <sz val="9"/>
            <color indexed="81"/>
            <rFont val="Tahoma"/>
            <family val="2"/>
          </rPr>
          <t>Sweta Sheth:
Includes 
Financial Services and Insurance</t>
        </r>
      </text>
    </comment>
    <comment ref="D418" authorId="0" shapeId="0" xr:uid="{B43B81E2-4C24-4985-9C39-55B65AA34A63}">
      <text>
        <r>
          <rPr>
            <sz val="9"/>
            <color indexed="81"/>
            <rFont val="Tahoma"/>
            <family val="2"/>
          </rPr>
          <t>Sweta Sheth:
Includes Retail, Consumer Packaged Goods and Logistics</t>
        </r>
      </text>
    </comment>
    <comment ref="E418" authorId="0" shapeId="0" xr:uid="{A0934503-8954-4CB9-8D98-AA04E1A26B7D}">
      <text>
        <r>
          <rPr>
            <sz val="9"/>
            <color indexed="81"/>
            <rFont val="Tahoma"/>
            <family val="2"/>
          </rPr>
          <t>Sweta Sheth:
Includes Communication, Telecom OEM and Media</t>
        </r>
      </text>
    </comment>
    <comment ref="I418" authorId="0" shapeId="0" xr:uid="{3D7A3074-FF05-44BC-AC48-7B027FFBC796}">
      <text>
        <r>
          <rPr>
            <sz val="9"/>
            <color indexed="81"/>
            <rFont val="Tahoma"/>
            <family val="2"/>
          </rPr>
          <t>Sweta Sheth:
Includes Life Sciences and Health care</t>
        </r>
      </text>
    </comment>
    <comment ref="J418" authorId="0" shapeId="0" xr:uid="{161F01F5-9E18-4CFF-920D-E488EC21B580}">
      <text>
        <r>
          <rPr>
            <sz val="9"/>
            <color indexed="81"/>
            <rFont val="Tahoma"/>
            <family val="2"/>
          </rPr>
          <t>Sweta Sheth:
Includes India, Japan, China, Infosys Public Services and other enterprises in Public services</t>
        </r>
      </text>
    </comment>
  </commentList>
</comments>
</file>

<file path=xl/sharedStrings.xml><?xml version="1.0" encoding="utf-8"?>
<sst xmlns="http://schemas.openxmlformats.org/spreadsheetml/2006/main" count="1720" uniqueCount="500">
  <si>
    <t>Table of Contents</t>
  </si>
  <si>
    <t>1 INR - IFRS Consolidated Profit and Loss</t>
  </si>
  <si>
    <t>2 INR - IFRS Consolidated Balance Sheet</t>
  </si>
  <si>
    <t>3 INR - IFRS Consolidated Cash flows</t>
  </si>
  <si>
    <t>4 USD - IFRS Consolidated Profit and Loss</t>
  </si>
  <si>
    <t>5 USD - IFRS Consolidated Balance Sheet</t>
  </si>
  <si>
    <t>7 Operating Metrics</t>
  </si>
  <si>
    <t>As the quarter and year figures are taken from the source and rounded to the nearest digits, the figures reported for previous quarters might not always add up to the year figures reported in this statement.</t>
  </si>
  <si>
    <t>Back to Index</t>
  </si>
  <si>
    <t>Infosys Limited and subsidiaries</t>
  </si>
  <si>
    <t>Condensed Consolidated Statement of Comprehensive Income for the period</t>
  </si>
  <si>
    <r>
      <t>Profit &amp; Loss Account (INR crore</t>
    </r>
    <r>
      <rPr>
        <b/>
        <sz val="9"/>
        <color indexed="9"/>
        <rFont val="Rupee Foradian"/>
        <family val="2"/>
      </rPr>
      <t>)</t>
    </r>
  </si>
  <si>
    <t>Q1 15</t>
  </si>
  <si>
    <t>Q2 15</t>
  </si>
  <si>
    <t>Q3 15</t>
  </si>
  <si>
    <t>Q4 15</t>
  </si>
  <si>
    <t>FY 15</t>
  </si>
  <si>
    <t>Q1 16</t>
  </si>
  <si>
    <t>Q2 16</t>
  </si>
  <si>
    <t>Q3 16</t>
  </si>
  <si>
    <t>Q4 16</t>
  </si>
  <si>
    <t>FY 16</t>
  </si>
  <si>
    <t>Q1 17</t>
  </si>
  <si>
    <t>Q2 17</t>
  </si>
  <si>
    <t>Q3 17</t>
  </si>
  <si>
    <t>Q4 17</t>
  </si>
  <si>
    <t xml:space="preserve"> FY 17</t>
  </si>
  <si>
    <t>Q1 18</t>
  </si>
  <si>
    <t>Q2 18</t>
  </si>
  <si>
    <t>Q3 18</t>
  </si>
  <si>
    <t>Q4 18</t>
  </si>
  <si>
    <t xml:space="preserve">FY 18 </t>
  </si>
  <si>
    <t>Q1 19</t>
  </si>
  <si>
    <t>Q2 19</t>
  </si>
  <si>
    <t>Q3 19</t>
  </si>
  <si>
    <t>Q4 19</t>
  </si>
  <si>
    <t xml:space="preserve">FY 19 </t>
  </si>
  <si>
    <t>Q1 20</t>
  </si>
  <si>
    <t>Q2 20</t>
  </si>
  <si>
    <t>Q3 20</t>
  </si>
  <si>
    <t>Q4 20</t>
  </si>
  <si>
    <t xml:space="preserve"> FY 20 </t>
  </si>
  <si>
    <t>Q1 21</t>
  </si>
  <si>
    <t>Q2 21</t>
  </si>
  <si>
    <t>Q3 21</t>
  </si>
  <si>
    <t>Q4 21</t>
  </si>
  <si>
    <t>FY 21</t>
  </si>
  <si>
    <t>Q1 22</t>
  </si>
  <si>
    <t>Q2 22</t>
  </si>
  <si>
    <t>Q3 22</t>
  </si>
  <si>
    <t>Q4 22</t>
  </si>
  <si>
    <t xml:space="preserve"> FY 22</t>
  </si>
  <si>
    <t>Q1 23</t>
  </si>
  <si>
    <t>Q2 23</t>
  </si>
  <si>
    <t>Q3 23</t>
  </si>
  <si>
    <t>Q4 23</t>
  </si>
  <si>
    <t>FY 23</t>
  </si>
  <si>
    <t>Q1 24</t>
  </si>
  <si>
    <t>Q2 24</t>
  </si>
  <si>
    <t>Q3 24</t>
  </si>
  <si>
    <t>Q4 24</t>
  </si>
  <si>
    <t>FY 24</t>
  </si>
  <si>
    <t>Q1 25</t>
  </si>
  <si>
    <t>Q2 25</t>
  </si>
  <si>
    <t>Q3 25</t>
  </si>
  <si>
    <t>Q4 25</t>
  </si>
  <si>
    <t>FY 25</t>
  </si>
  <si>
    <t>Q1 26</t>
  </si>
  <si>
    <t>Q2 26</t>
  </si>
  <si>
    <t>Q3 26</t>
  </si>
  <si>
    <t>Q4 26</t>
  </si>
  <si>
    <t xml:space="preserve"> FY 26</t>
  </si>
  <si>
    <t>Revenues</t>
  </si>
  <si>
    <t>Cost of sales</t>
  </si>
  <si>
    <t>Gross Profit</t>
  </si>
  <si>
    <t>Selling and marketing expenses</t>
  </si>
  <si>
    <t>Administrative expenses</t>
  </si>
  <si>
    <t>Total operating expenses</t>
  </si>
  <si>
    <t xml:space="preserve">Operating profit </t>
  </si>
  <si>
    <t>Adjustment for Labour Codes</t>
  </si>
  <si>
    <t>Adjusted Operating profit</t>
  </si>
  <si>
    <t xml:space="preserve">   - Margin %</t>
  </si>
  <si>
    <t xml:space="preserve">   - Adjusted Margin %</t>
  </si>
  <si>
    <t>Other income, net</t>
  </si>
  <si>
    <t>Finance cost</t>
  </si>
  <si>
    <t>Reduction in the value of disposal group held for sale</t>
  </si>
  <si>
    <t>Adjustment in respect of excess of carrying amount over recoverable amount on reclassification from "Held from Sale"</t>
  </si>
  <si>
    <t>Share in net profit/(loss) of associate, including impairment</t>
  </si>
  <si>
    <t>Profit before tax, minority interest and exceptional items</t>
  </si>
  <si>
    <t>Income tax expense</t>
  </si>
  <si>
    <t xml:space="preserve">    Tax %</t>
  </si>
  <si>
    <t>Net profit</t>
  </si>
  <si>
    <t>Non-controlling interests</t>
  </si>
  <si>
    <t>Net profit after Non-controlling interest</t>
  </si>
  <si>
    <t>Earnings per equity share (^)</t>
  </si>
  <si>
    <t>Basic</t>
  </si>
  <si>
    <t>Diluted</t>
  </si>
  <si>
    <t>Adjusted Earnings per equity share</t>
  </si>
  <si>
    <t>Shares outstanding (^)</t>
  </si>
  <si>
    <t>Basic, Millions</t>
  </si>
  <si>
    <t>Fully Diluted, Millions</t>
  </si>
  <si>
    <t>Notes:</t>
  </si>
  <si>
    <t>FINANCIAL STATEMENTS are as per IFRS</t>
  </si>
  <si>
    <t>(^) EPS and Shares o/s are adjusted for 1:1 bonus issue/stock dividend in December-14, June-15 and September-18</t>
  </si>
  <si>
    <t>Condensed Consolidated Balance Sheet as at</t>
  </si>
  <si>
    <t>Balance Sheet (INR Crores)</t>
  </si>
  <si>
    <t>FY 26</t>
  </si>
  <si>
    <t>Assets</t>
  </si>
  <si>
    <t>Current assets</t>
  </si>
  <si>
    <t>Cash and cash equivalents</t>
  </si>
  <si>
    <t>Available-for-sale financial assets/Current investments</t>
  </si>
  <si>
    <t>Investments in certificate of deposits</t>
  </si>
  <si>
    <t>-</t>
  </si>
  <si>
    <t>Trade receivables</t>
  </si>
  <si>
    <t>Unbilled revenue</t>
  </si>
  <si>
    <t>Loans &amp; Advances</t>
  </si>
  <si>
    <t>Derivative financial instruments</t>
  </si>
  <si>
    <t>Income tax assets</t>
  </si>
  <si>
    <t>Prepayments and other current assets</t>
  </si>
  <si>
    <t>Assets held for sale</t>
  </si>
  <si>
    <t>Total current assets</t>
  </si>
  <si>
    <t>Non-current assets</t>
  </si>
  <si>
    <t>Property, plant and equipment</t>
  </si>
  <si>
    <t>Right-of-use assets</t>
  </si>
  <si>
    <t>Goodwill</t>
  </si>
  <si>
    <t>Intangible assets</t>
  </si>
  <si>
    <t>Capital WIP</t>
  </si>
  <si>
    <t>Investment in associate</t>
  </si>
  <si>
    <t>Available-for-sale financial assets/Non-current investments</t>
  </si>
  <si>
    <t>Investment in govt bonds</t>
  </si>
  <si>
    <t>Unbilled Revenue</t>
  </si>
  <si>
    <t>Deferred income tax assets</t>
  </si>
  <si>
    <t>Other non-current assets</t>
  </si>
  <si>
    <t>Total Non-current assets</t>
  </si>
  <si>
    <t>Total assets</t>
  </si>
  <si>
    <t>Liabilities and equity</t>
  </si>
  <si>
    <t xml:space="preserve">Current liabilities </t>
  </si>
  <si>
    <t>Trade payables</t>
  </si>
  <si>
    <t>Lease liabilities</t>
  </si>
  <si>
    <t>Current income tax liabilities</t>
  </si>
  <si>
    <t>Client deposits</t>
  </si>
  <si>
    <t>Unearned revenue</t>
  </si>
  <si>
    <t>Employee benefit obligations</t>
  </si>
  <si>
    <t>Provisions</t>
  </si>
  <si>
    <t>Other current liabilities</t>
  </si>
  <si>
    <t>Liabilities directly associated with assets held for sale</t>
  </si>
  <si>
    <t>Total current liabilities</t>
  </si>
  <si>
    <t>Non-current liabilities</t>
  </si>
  <si>
    <t>Deferred income tax liabilities</t>
  </si>
  <si>
    <t>Other non-current liabilities</t>
  </si>
  <si>
    <t>Total liabilities</t>
  </si>
  <si>
    <t>Equity</t>
  </si>
  <si>
    <t xml:space="preserve">   Share capital</t>
  </si>
  <si>
    <t xml:space="preserve">   Share premium</t>
  </si>
  <si>
    <t xml:space="preserve">   Retained earnings</t>
  </si>
  <si>
    <t xml:space="preserve">   Cash flow hedge reserves</t>
  </si>
  <si>
    <t xml:space="preserve">   Other Reserves</t>
  </si>
  <si>
    <t xml:space="preserve">   Capital redemption reserve</t>
  </si>
  <si>
    <t xml:space="preserve">   Other components of equity</t>
  </si>
  <si>
    <t>Total equity attributable to the equity holders of the company</t>
  </si>
  <si>
    <t xml:space="preserve">   Non-controlling interests</t>
  </si>
  <si>
    <t xml:space="preserve">Total Equity  </t>
  </si>
  <si>
    <t>Total liabilities and equity</t>
  </si>
  <si>
    <t>Condensed Consolidated Statement of Cash Flows as at</t>
  </si>
  <si>
    <t>Cash Flow Statement (INR crore)</t>
  </si>
  <si>
    <t>FY 17</t>
  </si>
  <si>
    <t>FY 18</t>
  </si>
  <si>
    <t xml:space="preserve">FY 20 </t>
  </si>
  <si>
    <t>OPERATING ACTIVITIES</t>
  </si>
  <si>
    <t>Net Profit</t>
  </si>
  <si>
    <t>Adjustments to reconcile net profit to net cash provided by operating activities:</t>
  </si>
  <si>
    <t>Depreciation and amortization</t>
  </si>
  <si>
    <t>Income on investments</t>
  </si>
  <si>
    <t>Effect of exchange rate changes on assets and liabilities</t>
  </si>
  <si>
    <t>Deferred consideration pertaining to acquisition</t>
  </si>
  <si>
    <t>Write-down of goodwill/ Impairment loss on assets held for sale</t>
  </si>
  <si>
    <t>Write-down of investment in associate</t>
  </si>
  <si>
    <t>Reduction in the value of disposal group held for sale/ adjustment of carrying value on reclassification</t>
  </si>
  <si>
    <t>Stock compensation expense</t>
  </si>
  <si>
    <t>Interest on income tax refund</t>
  </si>
  <si>
    <t>Other adjustments</t>
  </si>
  <si>
    <t>Changes in working capital</t>
  </si>
  <si>
    <t>Trade receivables and unbilled revenue</t>
  </si>
  <si>
    <t>Prepayments and other assets</t>
  </si>
  <si>
    <t>Unearned revenue/ client deposits</t>
  </si>
  <si>
    <t>Other liabilities and provisions</t>
  </si>
  <si>
    <t>Cash generated from operations</t>
  </si>
  <si>
    <t>Income taxes paid</t>
  </si>
  <si>
    <t>Net cash generated by operating activities</t>
  </si>
  <si>
    <t>INVESTING ACTIVITIES</t>
  </si>
  <si>
    <t>Loans to employees</t>
  </si>
  <si>
    <t>Income on investments including interest and dividend received</t>
  </si>
  <si>
    <t>Payment for acquisition of business, net of cash acquired</t>
  </si>
  <si>
    <t>Payment of contingent consideration pertaining to acquisition of business</t>
  </si>
  <si>
    <t>Investment in equity and preference securities</t>
  </si>
  <si>
    <t>Investment in others</t>
  </si>
  <si>
    <t>Escrow and other deposits pertaining to Buyback</t>
  </si>
  <si>
    <t>Redemption of escrow and other deposits pertaining to Buyback</t>
  </si>
  <si>
    <t>Proceeds from equity and preference securities</t>
  </si>
  <si>
    <t>Investments in certificates of deposit</t>
  </si>
  <si>
    <t>Redemption of certificates of deposit</t>
  </si>
  <si>
    <t>Investment in quoted debt securities</t>
  </si>
  <si>
    <t>Redemption of quoted debt securities</t>
  </si>
  <si>
    <t>Investment in commercial papers</t>
  </si>
  <si>
    <t>Redemption of commercial paper</t>
  </si>
  <si>
    <t>Investment in fixed maturity plan securities</t>
  </si>
  <si>
    <t>Redemption of fixed maturity plan securities</t>
  </si>
  <si>
    <t>Investment in target maturity fund units</t>
  </si>
  <si>
    <t>Redemption in target maturity fund units</t>
  </si>
  <si>
    <t>Proceeds from sale of other securities and Other receipts</t>
  </si>
  <si>
    <t>FINANCING ACTIVITIES</t>
  </si>
  <si>
    <t>Proceeds from issuance of common stock on exercise of employee stock options</t>
  </si>
  <si>
    <t>Buy Back of equity shares including transaction cost</t>
  </si>
  <si>
    <t xml:space="preserve">Payment towards purchase of minority interest </t>
  </si>
  <si>
    <t>Other receipts</t>
  </si>
  <si>
    <t>Other payments</t>
  </si>
  <si>
    <t>Payment of dividends (includes corporate dividend tax) incl. to Minority holders</t>
  </si>
  <si>
    <t>Net cash used in financing activities</t>
  </si>
  <si>
    <t>Effect of exchange rate changes on cash and cash equivalents</t>
  </si>
  <si>
    <t>Net increase/(decrease)  in cash and cash equivalents</t>
  </si>
  <si>
    <t>Cash and cash equivalents at the beginning of the period</t>
  </si>
  <si>
    <t>Cash and cash equivalents at the end of the period</t>
  </si>
  <si>
    <t>Supplementary information:</t>
  </si>
  <si>
    <t>Restricted cash balance</t>
  </si>
  <si>
    <t>Profit &amp; Loss Account ($ million)</t>
  </si>
  <si>
    <t>FY 22</t>
  </si>
  <si>
    <t>Operating profit</t>
  </si>
  <si>
    <t>Other income (expenses), net</t>
  </si>
  <si>
    <t>Finance income</t>
  </si>
  <si>
    <t>Reduction in the fair value of Disposal Group held for sale</t>
  </si>
  <si>
    <t>Adjustment in respect of excess of carrying amount over recoverable amount</t>
  </si>
  <si>
    <t>Write down of investment in associate</t>
  </si>
  <si>
    <t>Profit before income taxes</t>
  </si>
  <si>
    <t>Profit after tax</t>
  </si>
  <si>
    <t>Basic ($)</t>
  </si>
  <si>
    <t>Diluted ($)</t>
  </si>
  <si>
    <t>Weighted average equity shares (^)</t>
  </si>
  <si>
    <t>(^) Earnings Per Share and weighted average equity shares have been adjusted for 1:1 bonus issue/stock dividend given in December-14, June-15 and September-18</t>
  </si>
  <si>
    <t>Balance Sheet ($ million)</t>
  </si>
  <si>
    <t>Investment in Associates</t>
  </si>
  <si>
    <t>Investments in govt bonds</t>
  </si>
  <si>
    <t>Total non-current assets</t>
  </si>
  <si>
    <t>Total Assets</t>
  </si>
  <si>
    <t>Tax on dividend</t>
  </si>
  <si>
    <t xml:space="preserve">   Other reserves</t>
  </si>
  <si>
    <t>Cash Flow Statement ($ million)</t>
  </si>
  <si>
    <t>Adjustments to reconcile net income to net cash provided by operating activities</t>
  </si>
  <si>
    <t>Other non cash item</t>
  </si>
  <si>
    <t>Write-down of goodwill</t>
  </si>
  <si>
    <t>Impairment loss on financial assets</t>
  </si>
  <si>
    <t>Unbilled revenues</t>
  </si>
  <si>
    <t>Investment in associates</t>
  </si>
  <si>
    <t>Investment in fixed maturity plan services</t>
  </si>
  <si>
    <t>Redemption of fixed maturity plan services</t>
  </si>
  <si>
    <t>Proceeds from sale of equity and preference securities</t>
  </si>
  <si>
    <t>Proceeds from sale of other securities &amp; Other receipts</t>
  </si>
  <si>
    <t>Proceeds on issuance of shares on exercise of employee stock options</t>
  </si>
  <si>
    <t>Payment of lease liabilities</t>
  </si>
  <si>
    <t>Buy back of shares including transaction costs</t>
  </si>
  <si>
    <t>Net increase/(decrease) in cash and cash equivalents</t>
  </si>
  <si>
    <t>Opening balance of cash and equivalents arising on consolidation on controlled trusts</t>
  </si>
  <si>
    <t>OPERATING METRICS</t>
  </si>
  <si>
    <t>Particulars</t>
  </si>
  <si>
    <t>Employee Metrics</t>
  </si>
  <si>
    <t>Total Employees (Consolidated)</t>
  </si>
  <si>
    <t>S/W professionals (IT Services and Consulting)</t>
  </si>
  <si>
    <t>Discontinued</t>
  </si>
  <si>
    <t>Billable</t>
  </si>
  <si>
    <t>Banking Product Group</t>
  </si>
  <si>
    <t>Trainees</t>
  </si>
  <si>
    <t>Support and sales (IT Services and Consulting)</t>
  </si>
  <si>
    <t xml:space="preserve">S/W professionals </t>
  </si>
  <si>
    <t>Sales &amp; Support</t>
  </si>
  <si>
    <t>Women employees (%)</t>
  </si>
  <si>
    <t>Infosys BPM</t>
  </si>
  <si>
    <t>Gross additions - consolidated</t>
  </si>
  <si>
    <t>Net additions - consolidated</t>
  </si>
  <si>
    <t>Laterals hired - consolidated</t>
  </si>
  <si>
    <t>NA</t>
  </si>
  <si>
    <t>LTM Attrition (Standalone)</t>
  </si>
  <si>
    <t>Voluntary LTM Attrition (Standalone)</t>
  </si>
  <si>
    <t>Attrition - annualized standalone %</t>
  </si>
  <si>
    <t>Attrition - annualized consolidated %</t>
  </si>
  <si>
    <t>Voluntary Attrition % (Annualized - IT Services)</t>
  </si>
  <si>
    <t>Voluntary Attrition % (LTM - IT Services)</t>
  </si>
  <si>
    <t>Effort (IT Services and Consulting)</t>
  </si>
  <si>
    <t>Onsite</t>
  </si>
  <si>
    <t>Offshore</t>
  </si>
  <si>
    <t>Utilization measures (IT Services and Consulting)</t>
  </si>
  <si>
    <t>Including trainees</t>
  </si>
  <si>
    <t>Excluding trainees</t>
  </si>
  <si>
    <t>Utilization measures</t>
  </si>
  <si>
    <t>b</t>
  </si>
  <si>
    <t xml:space="preserve"> IT Services and Consulting + Product</t>
  </si>
  <si>
    <t>Revenue segmentation</t>
  </si>
  <si>
    <t>a</t>
  </si>
  <si>
    <t>Revenues by client geography</t>
  </si>
  <si>
    <t>North America</t>
  </si>
  <si>
    <t>Europe</t>
  </si>
  <si>
    <t>ROW</t>
  </si>
  <si>
    <t>India</t>
  </si>
  <si>
    <t>Total</t>
  </si>
  <si>
    <t>Revenue by industry</t>
  </si>
  <si>
    <t>FSI (Financial Services and Insurance)</t>
  </si>
  <si>
    <t xml:space="preserve">         Banking &amp; financial services</t>
  </si>
  <si>
    <t xml:space="preserve">         Insurance</t>
  </si>
  <si>
    <t>Manufacturing &amp; Hi-tech</t>
  </si>
  <si>
    <t>RCL (Retail, Logistics, CPG and Life Sciences)</t>
  </si>
  <si>
    <t xml:space="preserve">         Retail &amp; CPG</t>
  </si>
  <si>
    <t xml:space="preserve">         Transport &amp; Logistics</t>
  </si>
  <si>
    <t xml:space="preserve">         Life Sciences</t>
  </si>
  <si>
    <t xml:space="preserve">         Healthcare</t>
  </si>
  <si>
    <t>ECS (Energy &amp; Utilities, Communications and Services)</t>
  </si>
  <si>
    <t xml:space="preserve">         Energy &amp; Utilities</t>
  </si>
  <si>
    <t xml:space="preserve">         Communication and Services</t>
  </si>
  <si>
    <t xml:space="preserve">         Others</t>
  </si>
  <si>
    <t>Revenues by Business segments</t>
  </si>
  <si>
    <r>
      <t xml:space="preserve">  Financial Services</t>
    </r>
    <r>
      <rPr>
        <vertAlign val="superscript"/>
        <sz val="9"/>
        <rFont val="Calibri"/>
        <family val="2"/>
      </rPr>
      <t xml:space="preserve"> 1</t>
    </r>
  </si>
  <si>
    <t xml:space="preserve">  Manufacturing</t>
  </si>
  <si>
    <t xml:space="preserve">  Energy, Utilities, Resources and Services</t>
  </si>
  <si>
    <r>
      <t xml:space="preserve">  Retail</t>
    </r>
    <r>
      <rPr>
        <vertAlign val="superscript"/>
        <sz val="9"/>
        <rFont val="Calibri"/>
        <family val="2"/>
      </rPr>
      <t>2</t>
    </r>
  </si>
  <si>
    <r>
      <t xml:space="preserve">  Communication</t>
    </r>
    <r>
      <rPr>
        <vertAlign val="superscript"/>
        <sz val="9"/>
        <rFont val="Calibri"/>
        <family val="2"/>
      </rPr>
      <t>3</t>
    </r>
  </si>
  <si>
    <t xml:space="preserve">  Hi-Tech</t>
  </si>
  <si>
    <r>
      <t xml:space="preserve">  Life Sciences</t>
    </r>
    <r>
      <rPr>
        <vertAlign val="superscript"/>
        <sz val="9"/>
        <rFont val="Calibri"/>
        <family val="2"/>
      </rPr>
      <t>4</t>
    </r>
  </si>
  <si>
    <r>
      <t xml:space="preserve">  Others</t>
    </r>
    <r>
      <rPr>
        <vertAlign val="superscript"/>
        <sz val="9"/>
        <rFont val="Calibri"/>
        <family val="2"/>
      </rPr>
      <t>5</t>
    </r>
  </si>
  <si>
    <t>c</t>
  </si>
  <si>
    <t>Contract type (IT Services and Consulting)</t>
  </si>
  <si>
    <t>Fixed price</t>
  </si>
  <si>
    <t>Time and Material</t>
  </si>
  <si>
    <t>Revenues by Contract type (Including products)</t>
  </si>
  <si>
    <t>d</t>
  </si>
  <si>
    <t>Revenues by service offering (new classification)</t>
  </si>
  <si>
    <t>Business IT Services</t>
  </si>
  <si>
    <t xml:space="preserve">         Application Development</t>
  </si>
  <si>
    <t xml:space="preserve">         Application Maintenance</t>
  </si>
  <si>
    <t xml:space="preserve">         Infrastructure Management Services</t>
  </si>
  <si>
    <t xml:space="preserve">         Testing Services</t>
  </si>
  <si>
    <t xml:space="preserve">         Business Process Management</t>
  </si>
  <si>
    <t xml:space="preserve">         Product Engineering Services</t>
  </si>
  <si>
    <t>Consulting, Package Implementation &amp; Others</t>
  </si>
  <si>
    <t>Products and Platforms</t>
  </si>
  <si>
    <t xml:space="preserve">         Products</t>
  </si>
  <si>
    <t xml:space="preserve">         BPM Platforms</t>
  </si>
  <si>
    <t>Revenues by offering</t>
  </si>
  <si>
    <t>Digital</t>
  </si>
  <si>
    <t>Core</t>
  </si>
  <si>
    <t>Services</t>
  </si>
  <si>
    <t xml:space="preserve">Digital </t>
  </si>
  <si>
    <t>Products &amp; platforms</t>
  </si>
  <si>
    <t>Client metrics</t>
  </si>
  <si>
    <t>Top client contribution to revenues</t>
  </si>
  <si>
    <t>Top 5 client contribution to revenues</t>
  </si>
  <si>
    <t>Top 10 client contribution to revenues</t>
  </si>
  <si>
    <t>Top 25 client contribution to revenues</t>
  </si>
  <si>
    <t>Number of active clients</t>
  </si>
  <si>
    <t>New clients added in the period</t>
  </si>
  <si>
    <t>Repeat business %</t>
  </si>
  <si>
    <t>Suspended</t>
  </si>
  <si>
    <t>Revenue buckets</t>
  </si>
  <si>
    <t>Million $ clients</t>
  </si>
  <si>
    <t>5 Million $ clients</t>
  </si>
  <si>
    <t>10 Million $ clients</t>
  </si>
  <si>
    <t>25 Million $ clients</t>
  </si>
  <si>
    <t>50 Million $ clients</t>
  </si>
  <si>
    <t>75 Million $ clients</t>
  </si>
  <si>
    <t>100 Million $ clients</t>
  </si>
  <si>
    <t>200 Million $ clients</t>
  </si>
  <si>
    <t>300 Million $ clients</t>
  </si>
  <si>
    <t>Per capita productivity (IT Services and Consulting)</t>
  </si>
  <si>
    <t>Effort - Person-months</t>
  </si>
  <si>
    <t>Billed</t>
  </si>
  <si>
    <t>Non-billed</t>
  </si>
  <si>
    <t>Training</t>
  </si>
  <si>
    <t>Total professionals</t>
  </si>
  <si>
    <t>Support</t>
  </si>
  <si>
    <t>Qoq change in per capita productivity - reported</t>
  </si>
  <si>
    <t>Blended</t>
  </si>
  <si>
    <t>Qoq change in per capita productivity - constant currency</t>
  </si>
  <si>
    <t>Blended YoY change - constant currency</t>
  </si>
  <si>
    <t>Revenue per employee- consolidated</t>
  </si>
  <si>
    <t>Average rate of USD</t>
  </si>
  <si>
    <t>AUD</t>
  </si>
  <si>
    <t>EURO</t>
  </si>
  <si>
    <t>GBP</t>
  </si>
  <si>
    <t>Avg USD-INR rate</t>
  </si>
  <si>
    <t>Period end USD-INR rate</t>
  </si>
  <si>
    <t>Currency-wise revenues</t>
  </si>
  <si>
    <t>USD</t>
  </si>
  <si>
    <t>Euro</t>
  </si>
  <si>
    <t>DSO (days)</t>
  </si>
  <si>
    <t>Constant currency growth (qoq %)</t>
  </si>
  <si>
    <t>By geography</t>
  </si>
  <si>
    <t xml:space="preserve"> By vertical- New classification</t>
  </si>
  <si>
    <t>- Insurance, Banking and Financial services</t>
  </si>
  <si>
    <t>- Manufacturing and Hitech</t>
  </si>
  <si>
    <t>- Retail, CPG and Lifesciences</t>
  </si>
  <si>
    <t>- Energy, Communications and Services</t>
  </si>
  <si>
    <t xml:space="preserve"> By business segment</t>
  </si>
  <si>
    <t>Financial Services</t>
  </si>
  <si>
    <t>Retail</t>
  </si>
  <si>
    <t>Communications</t>
  </si>
  <si>
    <t>Energy, Utilities, Resources and Services</t>
  </si>
  <si>
    <t>Manufacturing</t>
  </si>
  <si>
    <t>Hi Tech</t>
  </si>
  <si>
    <t>Life Sciences</t>
  </si>
  <si>
    <t>Others</t>
  </si>
  <si>
    <t>Constant currency growth (YoY %)</t>
  </si>
  <si>
    <t xml:space="preserve"> </t>
  </si>
  <si>
    <t>Large deal TCV ($ mn)</t>
  </si>
  <si>
    <t xml:space="preserve"> - Committed value</t>
  </si>
  <si>
    <t xml:space="preserve"> - Framework deal value</t>
  </si>
  <si>
    <t>% of net new deals</t>
  </si>
  <si>
    <t>Total no of large deals</t>
  </si>
  <si>
    <r>
      <t>Return on Equity (ROE %)</t>
    </r>
    <r>
      <rPr>
        <b/>
        <vertAlign val="superscript"/>
        <sz val="9"/>
        <rFont val="Calibri"/>
        <family val="2"/>
      </rPr>
      <t>6</t>
    </r>
  </si>
  <si>
    <t>Consolidated cash and investments ($ mn)</t>
  </si>
  <si>
    <t>comprising of</t>
  </si>
  <si>
    <t>- Cash and bank deposits</t>
  </si>
  <si>
    <t>- Deposits with corporations</t>
  </si>
  <si>
    <t>- Current investments (quoted)</t>
  </si>
  <si>
    <t>- Investments in certificate of deposits</t>
  </si>
  <si>
    <t>- Non-current Investments</t>
  </si>
  <si>
    <t>Cash and bank deposits comprising of</t>
  </si>
  <si>
    <t>- Current accounts</t>
  </si>
  <si>
    <t>- Deposit accounts</t>
  </si>
  <si>
    <t xml:space="preserve">Free cash flow to net profit % </t>
  </si>
  <si>
    <r>
      <t>Dividend per share (</t>
    </r>
    <r>
      <rPr>
        <b/>
        <sz val="9"/>
        <rFont val="Rupee Foradian"/>
        <family val="2"/>
      </rPr>
      <t>`)</t>
    </r>
    <r>
      <rPr>
        <b/>
        <vertAlign val="superscript"/>
        <sz val="9"/>
        <rFont val="Rupee Foradian"/>
        <family val="2"/>
      </rPr>
      <t>7</t>
    </r>
  </si>
  <si>
    <r>
      <t xml:space="preserve">  Regular (</t>
    </r>
    <r>
      <rPr>
        <sz val="9"/>
        <rFont val="Rupee Foradian"/>
        <family val="2"/>
      </rPr>
      <t>`)</t>
    </r>
  </si>
  <si>
    <r>
      <t xml:space="preserve">  Special (</t>
    </r>
    <r>
      <rPr>
        <sz val="9"/>
        <rFont val="Rupee Foradian"/>
        <family val="2"/>
      </rPr>
      <t>`)</t>
    </r>
  </si>
  <si>
    <t>For details on balances with individual Banks/FIs, pls refer to notes to accounts in IFRS financial statements at www.infosys.com</t>
  </si>
  <si>
    <t>Comments:</t>
  </si>
  <si>
    <t>1. Financial Services includes enterprises in Financial Services and Insurance</t>
  </si>
  <si>
    <t>2. Retail includes enterprises in Retail, Consumer Packaged Goods and Logistics</t>
  </si>
  <si>
    <t>3. Communication includes enterprises in Communications, Telecom OEM, and Media</t>
  </si>
  <si>
    <t>4. Life Sciences includes enterprises in Life Sciences and Healthcare</t>
  </si>
  <si>
    <t>5. Others includes operating segments of businesses in India, Japan, China and enterprises in Public Services</t>
  </si>
  <si>
    <t>6. LTM Net profit after tax/Average shareholder's equity</t>
  </si>
  <si>
    <t>7. Adjusted for bonus shares</t>
  </si>
  <si>
    <t>Index</t>
  </si>
  <si>
    <t>Disaggregate revenue information- FY 23</t>
  </si>
  <si>
    <t>(Dollars in millions)</t>
  </si>
  <si>
    <t>Communication</t>
  </si>
  <si>
    <t>Energy , Utilities, resources and Services</t>
  </si>
  <si>
    <t>Revenues by Geography</t>
  </si>
  <si>
    <t xml:space="preserve">India </t>
  </si>
  <si>
    <t>Rest of the world</t>
  </si>
  <si>
    <t>Revenue by offerings</t>
  </si>
  <si>
    <t>Disaggregate revenue information- Q4 23</t>
  </si>
  <si>
    <t>Disaggregate revenue information- Q3 23</t>
  </si>
  <si>
    <t>Disaggregate revenue information- Q2 23</t>
  </si>
  <si>
    <t>Disaggregate revenue information- Q1 23</t>
  </si>
  <si>
    <t>Disaggregate revenue information- FY 22</t>
  </si>
  <si>
    <t>Disaggregate revenue information- Q4 22</t>
  </si>
  <si>
    <t>Disaggregate revenue information- Q3 22</t>
  </si>
  <si>
    <t>Disaggregate revenue information- Q2 22</t>
  </si>
  <si>
    <t>Disaggregate revenue information- Q1 22</t>
  </si>
  <si>
    <t>Revenues by Geography*</t>
  </si>
  <si>
    <t>Disaggregate revenue information- FY 21</t>
  </si>
  <si>
    <t>Disaggregate revenue information- Q4 21</t>
  </si>
  <si>
    <t>Disaggregate revenue information- Q3 21</t>
  </si>
  <si>
    <t>Disaggregate revenue information- Q2 21</t>
  </si>
  <si>
    <t xml:space="preserve">Financial Services </t>
  </si>
  <si>
    <t xml:space="preserve">Communication </t>
  </si>
  <si>
    <t>Energy , Utilities, Resources and Services</t>
  </si>
  <si>
    <t xml:space="preserve">Others </t>
  </si>
  <si>
    <t>Disaggregate revenue information- Q1 21</t>
  </si>
  <si>
    <t>Disaggregate revenue information- FY 20</t>
  </si>
  <si>
    <t>Disaggregate revenue information- Q4 20</t>
  </si>
  <si>
    <t>Disaggregate revenue information- Q3 20</t>
  </si>
  <si>
    <t>Disaggregate revenue information- Q2 20</t>
  </si>
  <si>
    <t>Disaggregate revenue information- Q1 20</t>
  </si>
  <si>
    <t>Disaggregate revenue information- FY 19</t>
  </si>
  <si>
    <t>Subtotal</t>
  </si>
  <si>
    <t>Products and platforms</t>
  </si>
  <si>
    <t>Revenues by contract type</t>
  </si>
  <si>
    <t>Fixed Price</t>
  </si>
  <si>
    <t>Time &amp; Materials</t>
  </si>
  <si>
    <t>Disaggregate revenue information- Q4 19</t>
  </si>
  <si>
    <t>Disaggregate revenue information- Q3 19</t>
  </si>
  <si>
    <t>Disaggregate revenue information- Q2 19</t>
  </si>
  <si>
    <t>Disaggregate revenue information- Q1 19</t>
  </si>
  <si>
    <t>Q1 27</t>
  </si>
  <si>
    <t>Q2 27</t>
  </si>
  <si>
    <t>Q3 27</t>
  </si>
  <si>
    <t>Q4 27</t>
  </si>
  <si>
    <t>YTD  FY 27</t>
  </si>
  <si>
    <t>FY 27</t>
  </si>
  <si>
    <t>YTD FY 27</t>
  </si>
  <si>
    <t>Loan repayment of acquired entities</t>
  </si>
  <si>
    <t xml:space="preserve">  </t>
  </si>
  <si>
    <t>Impairment loss recognized/(reversed) under expected credit loss model</t>
  </si>
  <si>
    <t>Expenditure on property, plant and equipment and intangibles, net of sale proceeds, including changes in retention money and capital creditors</t>
  </si>
  <si>
    <t>Redemption of deposits placed with corporations</t>
  </si>
  <si>
    <t>Investment in mutual fund units</t>
  </si>
  <si>
    <t>Redemption of mutual fund units</t>
  </si>
  <si>
    <t>Net cash generated/ (used) in investing activities</t>
  </si>
  <si>
    <t>6 USD - IFRS Consolidated Cash flows</t>
  </si>
  <si>
    <t>Deposits placed with corporations</t>
  </si>
  <si>
    <t>General and administrative expenses</t>
  </si>
  <si>
    <t/>
  </si>
  <si>
    <t>Investor Sheet - Q2 FY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</si>
</sst>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7">
    <numFmt numFmtId="44" formatCode="_(&quot;$&quot;* #,##0.00_);_(&quot;$&quot;* \(#,##0.00\);_(&quot;$&quot;* &quot;-&quot;??_);_(@_)"/>
    <numFmt numFmtId="43" formatCode="_(* #,##0.00_);_(* \(#,##0.00\);_(* &quot;-&quot;??_);_(@_)"/>
    <numFmt numFmtId="164" formatCode="&quot;$&quot;#,##0.00_)\ \ \ ;\(&quot;$&quot;#,##0.00\)\ \ \ "/>
    <numFmt numFmtId="165" formatCode="&quot;$&quot;#,##0.00&quot;*&quot;\ \ ;\(&quot;$&quot;#,##0.00\)&quot;*&quot;\ \ "/>
    <numFmt numFmtId="166" formatCode="&quot;$&quot;#,##0.00\A_)\ ;\(&quot;$&quot;#,##0.00\A\)\ \ "/>
    <numFmt numFmtId="167" formatCode="&quot;$&quot;@\ "/>
    <numFmt numFmtId="168" formatCode="0.000000%"/>
    <numFmt numFmtId="169" formatCode="mm/dd/yy"/>
    <numFmt numFmtId="170" formatCode="@\ \ \ \ \ "/>
    <numFmt numFmtId="171" formatCode="#,##0.00_)\ \ \ \ \ ;\(#,##0.00\)\ \ \ \ \ "/>
    <numFmt numFmtId="172" formatCode="&quot;$&quot;#,##0.00_)\ \ \ \ \ ;\(&quot;$&quot;#,##0.00\)\ \ \ \ \ "/>
    <numFmt numFmtId="173" formatCode="&quot;$&quot;#,##0.00\A\ \ \ \ ;\(&quot;$&quot;#,##0.00\A\)\ \ \ \ "/>
    <numFmt numFmtId="174" formatCode="&quot;$&quot;#,##0.00&quot;E&quot;\ \ \ \ ;\(&quot;$&quot;#,##0.00&quot;E&quot;\)\ \ \ \ "/>
    <numFmt numFmtId="175" formatCode="#,##0.00\A\ \ \ \ ;\(#,##0.00\A\)\ \ \ \ "/>
    <numFmt numFmtId="176" formatCode="#,##0.00&quot;E&quot;\ \ \ \ ;\(#,##0.00&quot;E&quot;\)\ \ \ \ "/>
    <numFmt numFmtId="177" formatCode="0%\ \ \ \ \ \ \ "/>
    <numFmt numFmtId="178" formatCode="_(&quot;$&quot;* #,##0_)\ &quot;millions&quot;;_(&quot;$&quot;* \(#,##0\)&quot; millions&quot;"/>
    <numFmt numFmtId="179" formatCode="&quot;$&quot;#,##0\ &quot;MM&quot;;\(&quot;$&quot;#,##0.00\ &quot;MM&quot;\)"/>
    <numFmt numFmtId="180" formatCode="@&quot; MM&quot;"/>
    <numFmt numFmtId="181" formatCode="0.00000%"/>
    <numFmt numFmtId="182" formatCode="0.0\ \ \ \ \ \ "/>
    <numFmt numFmtId="183" formatCode="0.0%\ \ \ \ \ "/>
    <numFmt numFmtId="184" formatCode="&quot;$&quot;#\-?/?"/>
    <numFmt numFmtId="185" formatCode="0.00\ \ \ \ "/>
    <numFmt numFmtId="186" formatCode="@\ "/>
    <numFmt numFmtId="187" formatCode="&quot;$&quot;@"/>
    <numFmt numFmtId="188" formatCode="&quot;$&quot;#,##0.00"/>
    <numFmt numFmtId="189" formatCode="_(* #,##0_);_(* \(#,##0\);_(* &quot;-&quot;??_);_(@_)"/>
    <numFmt numFmtId="190" formatCode="&quot;$&quot;#,##0"/>
    <numFmt numFmtId="191" formatCode="_(&quot;$&quot;* #,##0_);_(&quot;$&quot;* \(#,##0\);_(&quot;$&quot;* &quot;-&quot;??_);_(@_)"/>
    <numFmt numFmtId="192" formatCode="0.0%"/>
    <numFmt numFmtId="193" formatCode="_(* #,##0.0_);_(* \(#,##0.0\);_(* &quot;-&quot;??_);_(@_)"/>
    <numFmt numFmtId="194" formatCode="_-* #,##0.00_-;\-* #,##0.00_-;_-* &quot;-&quot;??_-;_-@_-"/>
    <numFmt numFmtId="195" formatCode="0.0"/>
    <numFmt numFmtId="196" formatCode="&quot;$&quot;#,##0.000"/>
    <numFmt numFmtId="197" formatCode="[$$-409]#,##0.00"/>
    <numFmt numFmtId="198" formatCode="###,000"/>
  </numFmts>
  <fonts count="96">
    <font>
      <sz val="10"/>
      <name val="Tahoma"/>
      <family val="2"/>
    </font>
    <font>
      <sz val="11"/>
      <color theme="1"/>
      <name val="Aptos Narrow"/>
      <family val="2"/>
      <scheme val="minor"/>
    </font>
    <font>
      <sz val="10"/>
      <name val="Arial"/>
      <family val="2"/>
    </font>
    <font>
      <sz val="10"/>
      <name val="GillSans"/>
      <family val="2"/>
    </font>
    <font>
      <sz val="12"/>
      <name val="Tms Rmn"/>
    </font>
    <font>
      <sz val="10"/>
      <name val="MS Serif"/>
      <family val="1"/>
    </font>
    <font>
      <sz val="10"/>
      <color indexed="16"/>
      <name val="MS Serif"/>
      <family val="1"/>
    </font>
    <font>
      <sz val="8"/>
      <name val="Arial"/>
      <family val="2"/>
    </font>
    <font>
      <b/>
      <sz val="12"/>
      <name val="Arial"/>
      <family val="2"/>
    </font>
    <font>
      <u/>
      <sz val="6"/>
      <color indexed="12"/>
      <name val="Arial"/>
      <family val="2"/>
    </font>
    <font>
      <u/>
      <sz val="10"/>
      <name val="GillSans"/>
      <family val="2"/>
    </font>
    <font>
      <sz val="8"/>
      <name val="Helv"/>
    </font>
    <font>
      <b/>
      <sz val="8"/>
      <color indexed="8"/>
      <name val="Helv"/>
    </font>
    <font>
      <b/>
      <sz val="12"/>
      <name val="GillSans"/>
      <family val="2"/>
    </font>
    <font>
      <u/>
      <sz val="11"/>
      <name val="GillSans"/>
      <family val="2"/>
    </font>
    <font>
      <sz val="10"/>
      <name val="Tahoma"/>
      <family val="2"/>
    </font>
    <font>
      <b/>
      <sz val="10"/>
      <name val="Tahoma"/>
      <family val="2"/>
    </font>
    <font>
      <sz val="9"/>
      <name val="Book Antiqua"/>
      <family val="1"/>
    </font>
    <font>
      <sz val="11"/>
      <color indexed="8"/>
      <name val="Calibri"/>
      <family val="2"/>
    </font>
    <font>
      <b/>
      <u/>
      <sz val="18"/>
      <color indexed="30"/>
      <name val="Arial Black"/>
      <family val="2"/>
    </font>
    <font>
      <b/>
      <sz val="9"/>
      <name val="Calibri"/>
      <family val="2"/>
    </font>
    <font>
      <sz val="9"/>
      <name val="Calibri"/>
      <family val="2"/>
    </font>
    <font>
      <b/>
      <i/>
      <sz val="9"/>
      <name val="Calibri"/>
      <family val="2"/>
    </font>
    <font>
      <i/>
      <sz val="9"/>
      <name val="Calibri"/>
      <family val="2"/>
    </font>
    <font>
      <u/>
      <sz val="9"/>
      <name val="Calibri"/>
      <family val="2"/>
    </font>
    <font>
      <sz val="10"/>
      <color indexed="10"/>
      <name val="Tahoma"/>
      <family val="2"/>
    </font>
    <font>
      <sz val="10"/>
      <name val="Calibri"/>
      <family val="2"/>
    </font>
    <font>
      <b/>
      <sz val="10"/>
      <name val="Calibri"/>
      <family val="2"/>
    </font>
    <font>
      <u/>
      <sz val="9"/>
      <color indexed="12"/>
      <name val="Calibri"/>
      <family val="2"/>
    </font>
    <font>
      <u val="singleAccounting"/>
      <sz val="9"/>
      <name val="Calibri"/>
      <family val="2"/>
    </font>
    <font>
      <sz val="9"/>
      <color indexed="10"/>
      <name val="Calibri"/>
      <family val="2"/>
    </font>
    <font>
      <sz val="9"/>
      <color indexed="8"/>
      <name val="Calibri"/>
      <family val="2"/>
    </font>
    <font>
      <b/>
      <sz val="10"/>
      <color indexed="10"/>
      <name val="Calibri"/>
      <family val="2"/>
    </font>
    <font>
      <b/>
      <sz val="9"/>
      <color indexed="10"/>
      <name val="Calibri"/>
      <family val="2"/>
    </font>
    <font>
      <b/>
      <u/>
      <sz val="12"/>
      <name val="Calibri"/>
      <family val="2"/>
    </font>
    <font>
      <b/>
      <sz val="9"/>
      <color indexed="8"/>
      <name val="Calibri"/>
      <family val="2"/>
    </font>
    <font>
      <b/>
      <i/>
      <sz val="9"/>
      <color indexed="8"/>
      <name val="Calibri"/>
      <family val="2"/>
    </font>
    <font>
      <u/>
      <sz val="12"/>
      <name val="Calibri"/>
      <family val="2"/>
    </font>
    <font>
      <b/>
      <sz val="9"/>
      <color indexed="9"/>
      <name val="Calibri"/>
      <family val="2"/>
    </font>
    <font>
      <sz val="9"/>
      <color indexed="9"/>
      <name val="Calibri"/>
      <family val="2"/>
    </font>
    <font>
      <b/>
      <i/>
      <sz val="9"/>
      <color indexed="10"/>
      <name val="Calibri"/>
      <family val="2"/>
    </font>
    <font>
      <b/>
      <i/>
      <sz val="10"/>
      <color indexed="10"/>
      <name val="Calibri"/>
      <family val="2"/>
    </font>
    <font>
      <b/>
      <u val="singleAccounting"/>
      <sz val="9"/>
      <name val="Calibri"/>
      <family val="2"/>
    </font>
    <font>
      <b/>
      <u/>
      <sz val="9"/>
      <name val="Calibri"/>
      <family val="2"/>
    </font>
    <font>
      <b/>
      <i/>
      <u val="singleAccounting"/>
      <sz val="9"/>
      <name val="Calibri"/>
      <family val="2"/>
    </font>
    <font>
      <u val="singleAccounting"/>
      <sz val="9"/>
      <color indexed="8"/>
      <name val="Calibri"/>
      <family val="2"/>
    </font>
    <font>
      <sz val="9"/>
      <color indexed="24"/>
      <name val="Calibri"/>
      <family val="2"/>
    </font>
    <font>
      <sz val="9"/>
      <color indexed="81"/>
      <name val="Tahoma"/>
      <family val="2"/>
    </font>
    <font>
      <b/>
      <sz val="9"/>
      <color indexed="81"/>
      <name val="Tahoma"/>
      <family val="2"/>
    </font>
    <font>
      <sz val="9"/>
      <color indexed="81"/>
      <name val="Rupee Foradian"/>
      <family val="2"/>
    </font>
    <font>
      <u/>
      <sz val="12"/>
      <color indexed="12"/>
      <name val="Sylfaen"/>
      <family val="1"/>
    </font>
    <font>
      <b/>
      <vertAlign val="superscript"/>
      <sz val="9"/>
      <name val="Calibri"/>
      <family val="2"/>
    </font>
    <font>
      <vertAlign val="superscript"/>
      <sz val="9"/>
      <name val="Calibri"/>
      <family val="2"/>
    </font>
    <font>
      <b/>
      <sz val="12"/>
      <name val="Calibri"/>
      <family val="2"/>
    </font>
    <font>
      <u/>
      <sz val="9"/>
      <color indexed="12"/>
      <name val="Sylfaen"/>
      <family val="1"/>
    </font>
    <font>
      <b/>
      <sz val="9"/>
      <color indexed="9"/>
      <name val="Rupee Foradian"/>
      <family val="2"/>
    </font>
    <font>
      <b/>
      <sz val="9"/>
      <name val="Rupee Foradian"/>
      <family val="2"/>
    </font>
    <font>
      <sz val="9"/>
      <name val="Rupee Foradian"/>
      <family val="2"/>
    </font>
    <font>
      <b/>
      <vertAlign val="superscript"/>
      <sz val="9"/>
      <name val="Rupee Foradian"/>
      <family val="2"/>
    </font>
    <font>
      <b/>
      <sz val="14"/>
      <color indexed="9"/>
      <name val="Times New Roman"/>
      <family val="1"/>
    </font>
    <font>
      <i/>
      <sz val="8"/>
      <name val="Calibri"/>
      <family val="2"/>
    </font>
    <font>
      <sz val="11"/>
      <color theme="1"/>
      <name val="Calibri"/>
      <family val="2"/>
    </font>
    <font>
      <sz val="10"/>
      <color theme="5" tint="-0.249977111117893"/>
      <name val="Times New Roman"/>
      <family val="1"/>
    </font>
    <font>
      <sz val="10"/>
      <color theme="3" tint="0.249977111117893"/>
      <name val="Times New Roman"/>
      <family val="1"/>
    </font>
    <font>
      <sz val="14"/>
      <color theme="3" tint="0.249977111117893"/>
      <name val="Times New Roman"/>
      <family val="1"/>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9C6500"/>
      <name val="Aptos Narrow"/>
      <family val="2"/>
      <scheme val="minor"/>
    </font>
    <font>
      <b/>
      <sz val="18"/>
      <color theme="3"/>
      <name val="Aptos Display"/>
      <family val="2"/>
      <scheme val="maj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u/>
      <sz val="10"/>
      <color indexed="12"/>
      <name val="Arial"/>
      <family val="2"/>
    </font>
  </fonts>
  <fills count="55">
    <fill>
      <patternFill patternType="none"/>
    </fill>
    <fill>
      <patternFill patternType="gray125"/>
    </fill>
    <fill>
      <patternFill patternType="solid">
        <fgColor indexed="22"/>
        <bgColor indexed="64"/>
      </patternFill>
    </fill>
    <fill>
      <patternFill patternType="solid">
        <fgColor indexed="15"/>
        <bgColor indexed="64"/>
      </patternFill>
    </fill>
    <fill>
      <patternFill patternType="solid">
        <fgColor indexed="26"/>
        <bgColor indexed="64"/>
      </patternFill>
    </fill>
    <fill>
      <patternFill patternType="solid">
        <fgColor indexed="3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38">
    <border>
      <left/>
      <right/>
      <top/>
      <bottom/>
      <diagonal/>
    </border>
    <border>
      <left/>
      <right style="thin">
        <color indexed="64"/>
      </right>
      <top/>
      <bottom/>
      <diagonal/>
    </border>
    <border>
      <left style="thin">
        <color indexed="9"/>
      </left>
      <right style="thin">
        <color indexed="9"/>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s>
  <cellStyleXfs count="7331">
    <xf numFmtId="188" fontId="0" fillId="0" borderId="0"/>
    <xf numFmtId="0" fontId="3" fillId="0" borderId="0"/>
    <xf numFmtId="0" fontId="3" fillId="0" borderId="0">
      <alignment horizontal="right"/>
    </xf>
    <xf numFmtId="164" fontId="3" fillId="2" borderId="0"/>
    <xf numFmtId="165" fontId="3" fillId="2" borderId="0"/>
    <xf numFmtId="166" fontId="3" fillId="2" borderId="0"/>
    <xf numFmtId="167" fontId="3" fillId="2" borderId="0">
      <alignment horizontal="right"/>
    </xf>
    <xf numFmtId="0" fontId="4" fillId="0" borderId="0" applyNumberFormat="0" applyFill="0" applyBorder="0" applyAlignment="0" applyProtection="0"/>
    <xf numFmtId="168" fontId="2" fillId="0" borderId="0" applyFill="0" applyBorder="0" applyAlignment="0"/>
    <xf numFmtId="43" fontId="2" fillId="0" borderId="0" applyFont="0" applyFill="0" applyBorder="0" applyAlignment="0" applyProtection="0"/>
    <xf numFmtId="194" fontId="18" fillId="0" borderId="0" applyFont="0" applyFill="0" applyBorder="0" applyAlignment="0" applyProtection="0"/>
    <xf numFmtId="194" fontId="18" fillId="0" borderId="0" applyFont="0" applyFill="0" applyBorder="0" applyAlignment="0" applyProtection="0"/>
    <xf numFmtId="43" fontId="18" fillId="0" borderId="0" applyFont="0" applyFill="0" applyBorder="0" applyAlignment="0" applyProtection="0"/>
    <xf numFmtId="0" fontId="5" fillId="0" borderId="0" applyNumberFormat="0" applyAlignment="0">
      <alignment horizontal="left"/>
    </xf>
    <xf numFmtId="44" fontId="2" fillId="0" borderId="0" applyFont="0" applyFill="0" applyBorder="0" applyAlignment="0" applyProtection="0"/>
    <xf numFmtId="170" fontId="3" fillId="2" borderId="1">
      <alignment horizontal="right"/>
    </xf>
    <xf numFmtId="170" fontId="3" fillId="2" borderId="1">
      <alignment horizontal="right"/>
    </xf>
    <xf numFmtId="0" fontId="6" fillId="0" borderId="0" applyNumberFormat="0" applyAlignment="0">
      <alignment horizontal="left"/>
    </xf>
    <xf numFmtId="171" fontId="3" fillId="3" borderId="0"/>
    <xf numFmtId="172" fontId="3" fillId="3" borderId="0"/>
    <xf numFmtId="173" fontId="3" fillId="3" borderId="0"/>
    <xf numFmtId="174" fontId="3" fillId="0" borderId="0"/>
    <xf numFmtId="171" fontId="3" fillId="3" borderId="0"/>
    <xf numFmtId="175" fontId="3" fillId="0" borderId="0"/>
    <xf numFmtId="176" fontId="3" fillId="0" borderId="0"/>
    <xf numFmtId="172" fontId="3" fillId="0" borderId="2"/>
    <xf numFmtId="177" fontId="3" fillId="2" borderId="1">
      <alignment horizontal="right"/>
    </xf>
    <xf numFmtId="177" fontId="3" fillId="2" borderId="1">
      <alignment horizontal="right"/>
    </xf>
    <xf numFmtId="38" fontId="7" fillId="2" borderId="0" applyNumberFormat="0" applyBorder="0" applyAlignment="0" applyProtection="0"/>
    <xf numFmtId="0" fontId="8" fillId="0" borderId="3" applyNumberFormat="0" applyAlignment="0" applyProtection="0">
      <alignment horizontal="left" vertical="center"/>
    </xf>
    <xf numFmtId="0" fontId="8" fillId="0" borderId="4">
      <alignment horizontal="left" vertical="center"/>
    </xf>
    <xf numFmtId="0" fontId="9" fillId="0" borderId="0" applyNumberFormat="0" applyFill="0" applyBorder="0" applyAlignment="0" applyProtection="0">
      <alignment vertical="top"/>
      <protection locked="0"/>
    </xf>
    <xf numFmtId="10" fontId="7" fillId="4" borderId="5" applyNumberFormat="0" applyBorder="0" applyAlignment="0" applyProtection="0"/>
    <xf numFmtId="0" fontId="17" fillId="0" borderId="0"/>
    <xf numFmtId="178" fontId="3" fillId="0" borderId="0">
      <alignment horizontal="right"/>
    </xf>
    <xf numFmtId="179" fontId="3" fillId="3" borderId="0">
      <alignment horizontal="right"/>
    </xf>
    <xf numFmtId="180" fontId="3" fillId="3" borderId="1">
      <alignment horizontal="right"/>
    </xf>
    <xf numFmtId="181" fontId="2" fillId="0" borderId="0"/>
    <xf numFmtId="0" fontId="61" fillId="0" borderId="0"/>
    <xf numFmtId="0" fontId="2" fillId="0" borderId="0"/>
    <xf numFmtId="0" fontId="17" fillId="0" borderId="0"/>
    <xf numFmtId="0" fontId="61" fillId="0" borderId="0"/>
    <xf numFmtId="0" fontId="61" fillId="0" borderId="0"/>
    <xf numFmtId="0" fontId="2" fillId="0" borderId="0"/>
    <xf numFmtId="0" fontId="2" fillId="0" borderId="0"/>
    <xf numFmtId="0" fontId="2" fillId="0" borderId="0"/>
    <xf numFmtId="182" fontId="3" fillId="3" borderId="0"/>
    <xf numFmtId="183" fontId="3" fillId="0" borderId="0"/>
    <xf numFmtId="9" fontId="2" fillId="0" borderId="0" applyFont="0" applyFill="0" applyBorder="0" applyAlignment="0" applyProtection="0"/>
    <xf numFmtId="10" fontId="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4" fontId="3" fillId="3" borderId="0">
      <alignment horizontal="right"/>
    </xf>
    <xf numFmtId="185" fontId="3" fillId="2" borderId="0"/>
    <xf numFmtId="185" fontId="3" fillId="2" borderId="0"/>
    <xf numFmtId="0" fontId="10" fillId="0" borderId="0">
      <alignment horizontal="center"/>
    </xf>
    <xf numFmtId="0" fontId="3" fillId="0" borderId="6">
      <alignment horizontal="centerContinuous"/>
    </xf>
    <xf numFmtId="186" fontId="3" fillId="2" borderId="0">
      <alignment horizontal="right"/>
    </xf>
    <xf numFmtId="187" fontId="3" fillId="2" borderId="1">
      <alignment horizontal="right"/>
    </xf>
    <xf numFmtId="169" fontId="11" fillId="0" borderId="0" applyNumberFormat="0" applyFill="0" applyBorder="0" applyAlignment="0" applyProtection="0">
      <alignment horizontal="left"/>
    </xf>
    <xf numFmtId="40" fontId="12" fillId="0" borderId="0" applyBorder="0">
      <alignment horizontal="right"/>
    </xf>
    <xf numFmtId="49" fontId="13" fillId="0" borderId="0"/>
    <xf numFmtId="0" fontId="14" fillId="0" borderId="0"/>
    <xf numFmtId="0" fontId="65" fillId="0" borderId="0" applyNumberFormat="0" applyFill="0" applyBorder="0" applyAlignment="0" applyProtection="0"/>
    <xf numFmtId="0" fontId="66" fillId="0" borderId="23" applyNumberFormat="0" applyFill="0" applyAlignment="0" applyProtection="0"/>
    <xf numFmtId="0" fontId="67" fillId="0" borderId="24" applyNumberFormat="0" applyFill="0" applyAlignment="0" applyProtection="0"/>
    <xf numFmtId="0" fontId="68" fillId="0" borderId="25" applyNumberFormat="0" applyFill="0" applyAlignment="0" applyProtection="0"/>
    <xf numFmtId="0" fontId="68" fillId="0" borderId="0" applyNumberFormat="0" applyFill="0" applyBorder="0" applyAlignment="0" applyProtection="0"/>
    <xf numFmtId="0" fontId="69" fillId="7" borderId="0" applyNumberFormat="0" applyBorder="0" applyAlignment="0" applyProtection="0"/>
    <xf numFmtId="0" fontId="70" fillId="8" borderId="0" applyNumberFormat="0" applyBorder="0" applyAlignment="0" applyProtection="0"/>
    <xf numFmtId="0" fontId="72" fillId="10" borderId="26" applyNumberFormat="0" applyAlignment="0" applyProtection="0"/>
    <xf numFmtId="0" fontId="73" fillId="11" borderId="27" applyNumberFormat="0" applyAlignment="0" applyProtection="0"/>
    <xf numFmtId="0" fontId="74" fillId="11" borderId="26" applyNumberFormat="0" applyAlignment="0" applyProtection="0"/>
    <xf numFmtId="0" fontId="75" fillId="0" borderId="28" applyNumberFormat="0" applyFill="0" applyAlignment="0" applyProtection="0"/>
    <xf numFmtId="0" fontId="76" fillId="12" borderId="29" applyNumberFormat="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9" fillId="0" borderId="31" applyNumberFormat="0" applyFill="0" applyAlignment="0" applyProtection="0"/>
    <xf numFmtId="0" fontId="8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8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8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8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8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8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7" fillId="0" borderId="0" applyFont="0" applyFill="0" applyBorder="0" applyAlignment="0" applyProtection="0"/>
    <xf numFmtId="0" fontId="17" fillId="0" borderId="0"/>
    <xf numFmtId="0" fontId="1" fillId="0" borderId="0"/>
    <xf numFmtId="0" fontId="1" fillId="0" borderId="0"/>
    <xf numFmtId="0" fontId="2"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7" fillId="0" borderId="0" applyFont="0" applyFill="0" applyBorder="0" applyAlignment="0" applyProtection="0"/>
    <xf numFmtId="0" fontId="1" fillId="0" borderId="0"/>
    <xf numFmtId="43" fontId="17"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2" fillId="0" borderId="0"/>
    <xf numFmtId="9" fontId="17" fillId="0" borderId="0" applyFont="0" applyFill="0" applyBorder="0" applyAlignment="0" applyProtection="0"/>
    <xf numFmtId="0" fontId="17"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81" fillId="9" borderId="0" applyNumberFormat="0" applyBorder="0" applyAlignment="0" applyProtection="0"/>
    <xf numFmtId="0" fontId="80" fillId="17" borderId="0" applyNumberFormat="0" applyBorder="0" applyAlignment="0" applyProtection="0"/>
    <xf numFmtId="0" fontId="80" fillId="21" borderId="0" applyNumberFormat="0" applyBorder="0" applyAlignment="0" applyProtection="0"/>
    <xf numFmtId="0" fontId="80" fillId="25" borderId="0" applyNumberFormat="0" applyBorder="0" applyAlignment="0" applyProtection="0"/>
    <xf numFmtId="0" fontId="80" fillId="29" borderId="0" applyNumberFormat="0" applyBorder="0" applyAlignment="0" applyProtection="0"/>
    <xf numFmtId="0" fontId="80" fillId="33" borderId="0" applyNumberFormat="0" applyBorder="0" applyAlignment="0" applyProtection="0"/>
    <xf numFmtId="0" fontId="80" fillId="37" borderId="0" applyNumberFormat="0" applyBorder="0" applyAlignment="0" applyProtection="0"/>
    <xf numFmtId="0" fontId="17" fillId="0" borderId="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82" fillId="0" borderId="0" applyNumberFormat="0" applyFill="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7" fillId="0" borderId="0"/>
    <xf numFmtId="43" fontId="17" fillId="0" borderId="0" applyFont="0" applyFill="0" applyBorder="0" applyAlignment="0" applyProtection="0"/>
    <xf numFmtId="9" fontId="1" fillId="0" borderId="0" applyFont="0" applyFill="0" applyBorder="0" applyAlignment="0" applyProtection="0"/>
    <xf numFmtId="0" fontId="1" fillId="0" borderId="0"/>
    <xf numFmtId="9" fontId="17"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2" fillId="0" borderId="0" applyNumberFormat="0" applyFill="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197" fontId="1" fillId="0" borderId="0"/>
    <xf numFmtId="43" fontId="1" fillId="0" borderId="0" applyFont="0" applyFill="0" applyBorder="0" applyAlignment="0" applyProtection="0"/>
    <xf numFmtId="197" fontId="2" fillId="0" borderId="0"/>
    <xf numFmtId="197" fontId="17" fillId="0" borderId="0"/>
    <xf numFmtId="197" fontId="1" fillId="0" borderId="0"/>
    <xf numFmtId="197" fontId="1" fillId="0" borderId="0"/>
    <xf numFmtId="197" fontId="2" fillId="0" borderId="0"/>
    <xf numFmtId="43"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7" fontId="1" fillId="0" borderId="0"/>
    <xf numFmtId="197" fontId="2" fillId="0" borderId="0"/>
    <xf numFmtId="43" fontId="1" fillId="0" borderId="0" applyFont="0" applyFill="0" applyBorder="0" applyAlignment="0" applyProtection="0"/>
    <xf numFmtId="197" fontId="1" fillId="0" borderId="0"/>
    <xf numFmtId="43" fontId="1" fillId="0" borderId="0" applyFont="0" applyFill="0" applyBorder="0" applyAlignment="0" applyProtection="0"/>
    <xf numFmtId="197" fontId="1" fillId="0" borderId="0"/>
    <xf numFmtId="43" fontId="1" fillId="0" borderId="0" applyFont="0" applyFill="0" applyBorder="0" applyAlignment="0" applyProtection="0"/>
    <xf numFmtId="197" fontId="2" fillId="0" borderId="0"/>
    <xf numFmtId="197" fontId="1" fillId="0" borderId="0"/>
    <xf numFmtId="197" fontId="1" fillId="0" borderId="0"/>
    <xf numFmtId="43" fontId="1" fillId="0" borderId="0" applyFont="0" applyFill="0" applyBorder="0" applyAlignment="0" applyProtection="0"/>
    <xf numFmtId="197" fontId="2" fillId="0" borderId="0"/>
    <xf numFmtId="197" fontId="1" fillId="0" borderId="0"/>
    <xf numFmtId="197" fontId="18" fillId="0" borderId="0"/>
    <xf numFmtId="197" fontId="17" fillId="0" borderId="0"/>
    <xf numFmtId="43" fontId="1" fillId="0" borderId="0" applyFont="0" applyFill="0" applyBorder="0" applyAlignment="0" applyProtection="0"/>
    <xf numFmtId="43" fontId="1" fillId="0" borderId="0" applyFont="0" applyFill="0" applyBorder="0" applyAlignment="0" applyProtection="0"/>
    <xf numFmtId="197" fontId="17"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7" fillId="0" borderId="0"/>
    <xf numFmtId="0" fontId="17" fillId="0" borderId="0"/>
    <xf numFmtId="43" fontId="2" fillId="0" borderId="0" applyFont="0" applyFill="0" applyBorder="0" applyAlignment="0" applyProtection="0"/>
    <xf numFmtId="43" fontId="2" fillId="0" borderId="0" applyFont="0" applyFill="0" applyBorder="0" applyAlignment="0" applyProtection="0"/>
    <xf numFmtId="0" fontId="17" fillId="0" borderId="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43" fontId="2"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7"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17" fillId="0" borderId="0"/>
    <xf numFmtId="43" fontId="1" fillId="0" borderId="0" applyFont="0" applyFill="0" applyBorder="0" applyAlignment="0" applyProtection="0"/>
    <xf numFmtId="0" fontId="17"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43" fontId="2"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17" fillId="0" borderId="0"/>
    <xf numFmtId="0" fontId="83" fillId="38" borderId="32" applyNumberFormat="0" applyAlignment="0" applyProtection="0">
      <alignment horizontal="left" vertical="center" indent="1"/>
    </xf>
    <xf numFmtId="198" fontId="84" fillId="0" borderId="33" applyNumberFormat="0" applyProtection="0">
      <alignment horizontal="right" vertical="center"/>
    </xf>
    <xf numFmtId="198" fontId="83" fillId="0" borderId="34" applyNumberFormat="0" applyProtection="0">
      <alignment horizontal="right" vertical="center"/>
    </xf>
    <xf numFmtId="0" fontId="85" fillId="39" borderId="34" applyNumberFormat="0" applyAlignment="0">
      <alignment horizontal="left" vertical="center" indent="1"/>
      <protection locked="0"/>
    </xf>
    <xf numFmtId="0" fontId="85" fillId="40" borderId="34" applyNumberFormat="0" applyAlignment="0" applyProtection="0">
      <alignment horizontal="left" vertical="center" indent="1"/>
    </xf>
    <xf numFmtId="198" fontId="84" fillId="41" borderId="33" applyNumberFormat="0" applyBorder="0">
      <alignment horizontal="right" vertical="center"/>
      <protection locked="0"/>
    </xf>
    <xf numFmtId="0" fontId="85" fillId="39" borderId="34" applyNumberFormat="0" applyAlignment="0">
      <alignment horizontal="left" vertical="center" indent="1"/>
      <protection locked="0"/>
    </xf>
    <xf numFmtId="198" fontId="83" fillId="40" borderId="34" applyNumberFormat="0" applyProtection="0">
      <alignment horizontal="right" vertical="center"/>
    </xf>
    <xf numFmtId="198" fontId="83" fillId="41" borderId="34" applyNumberFormat="0" applyBorder="0">
      <alignment horizontal="right" vertical="center"/>
      <protection locked="0"/>
    </xf>
    <xf numFmtId="198" fontId="86" fillId="42" borderId="35" applyNumberFormat="0" applyBorder="0" applyAlignment="0" applyProtection="0">
      <alignment horizontal="right" vertical="center" indent="1"/>
    </xf>
    <xf numFmtId="198" fontId="87" fillId="43" borderId="35" applyNumberFormat="0" applyBorder="0" applyAlignment="0" applyProtection="0">
      <alignment horizontal="right" vertical="center" indent="1"/>
    </xf>
    <xf numFmtId="198" fontId="87" fillId="44" borderId="35" applyNumberFormat="0" applyBorder="0" applyAlignment="0" applyProtection="0">
      <alignment horizontal="right" vertical="center" indent="1"/>
    </xf>
    <xf numFmtId="198" fontId="88" fillId="45" borderId="35" applyNumberFormat="0" applyBorder="0" applyAlignment="0" applyProtection="0">
      <alignment horizontal="right" vertical="center" indent="1"/>
    </xf>
    <xf numFmtId="198" fontId="88" fillId="46" borderId="35" applyNumberFormat="0" applyBorder="0" applyAlignment="0" applyProtection="0">
      <alignment horizontal="right" vertical="center" indent="1"/>
    </xf>
    <xf numFmtId="198" fontId="88" fillId="47" borderId="35" applyNumberFormat="0" applyBorder="0" applyAlignment="0" applyProtection="0">
      <alignment horizontal="right" vertical="center" indent="1"/>
    </xf>
    <xf numFmtId="198" fontId="89" fillId="48" borderId="35" applyNumberFormat="0" applyBorder="0" applyAlignment="0" applyProtection="0">
      <alignment horizontal="right" vertical="center" indent="1"/>
    </xf>
    <xf numFmtId="198" fontId="89" fillId="49" borderId="35" applyNumberFormat="0" applyBorder="0" applyAlignment="0" applyProtection="0">
      <alignment horizontal="right" vertical="center" indent="1"/>
    </xf>
    <xf numFmtId="198" fontId="89" fillId="50" borderId="35" applyNumberFormat="0" applyBorder="0" applyAlignment="0" applyProtection="0">
      <alignment horizontal="right" vertical="center" indent="1"/>
    </xf>
    <xf numFmtId="0" fontId="90" fillId="0" borderId="32" applyNumberFormat="0" applyFont="0" applyFill="0" applyAlignment="0" applyProtection="0"/>
    <xf numFmtId="198" fontId="84" fillId="51" borderId="32" applyNumberFormat="0" applyAlignment="0" applyProtection="0">
      <alignment horizontal="left" vertical="center" indent="1"/>
    </xf>
    <xf numFmtId="0" fontId="83" fillId="38" borderId="34" applyNumberFormat="0" applyAlignment="0" applyProtection="0">
      <alignment horizontal="left" vertical="center" indent="1"/>
    </xf>
    <xf numFmtId="0" fontId="85" fillId="52" borderId="32" applyNumberFormat="0" applyAlignment="0" applyProtection="0">
      <alignment horizontal="left" vertical="center" indent="1"/>
    </xf>
    <xf numFmtId="0" fontId="85" fillId="53" borderId="32" applyNumberFormat="0" applyAlignment="0" applyProtection="0">
      <alignment horizontal="left" vertical="center" indent="1"/>
    </xf>
    <xf numFmtId="0" fontId="85" fillId="54" borderId="32" applyNumberFormat="0" applyAlignment="0" applyProtection="0">
      <alignment horizontal="left" vertical="center" indent="1"/>
    </xf>
    <xf numFmtId="0" fontId="85" fillId="41" borderId="32" applyNumberFormat="0" applyAlignment="0" applyProtection="0">
      <alignment horizontal="left" vertical="center" indent="1"/>
    </xf>
    <xf numFmtId="0" fontId="85" fillId="40" borderId="34" applyNumberFormat="0" applyAlignment="0" applyProtection="0">
      <alignment horizontal="left" vertical="center" indent="1"/>
    </xf>
    <xf numFmtId="0" fontId="91" fillId="0" borderId="36" applyNumberFormat="0" applyFill="0" applyBorder="0" applyAlignment="0" applyProtection="0"/>
    <xf numFmtId="0" fontId="92" fillId="0" borderId="36" applyNumberFormat="0" applyBorder="0" applyAlignment="0" applyProtection="0"/>
    <xf numFmtId="0" fontId="91" fillId="39" borderId="34" applyNumberFormat="0" applyAlignment="0">
      <alignment horizontal="left" vertical="center" indent="1"/>
      <protection locked="0"/>
    </xf>
    <xf numFmtId="0" fontId="91" fillId="39" borderId="34" applyNumberFormat="0" applyAlignment="0">
      <alignment horizontal="left" vertical="center" indent="1"/>
      <protection locked="0"/>
    </xf>
    <xf numFmtId="0" fontId="91" fillId="40" borderId="34" applyNumberFormat="0" applyAlignment="0" applyProtection="0">
      <alignment horizontal="left" vertical="center" indent="1"/>
    </xf>
    <xf numFmtId="198" fontId="93" fillId="40" borderId="34" applyNumberFormat="0" applyProtection="0">
      <alignment horizontal="right" vertical="center"/>
    </xf>
    <xf numFmtId="198" fontId="94" fillId="41" borderId="33" applyNumberFormat="0" applyBorder="0">
      <alignment horizontal="right" vertical="center"/>
      <protection locked="0"/>
    </xf>
    <xf numFmtId="198" fontId="93" fillId="41" borderId="34" applyNumberFormat="0" applyBorder="0">
      <alignment horizontal="right" vertical="center"/>
      <protection locked="0"/>
    </xf>
    <xf numFmtId="198" fontId="84" fillId="0" borderId="33" applyNumberFormat="0" applyFill="0" applyBorder="0" applyAlignment="0" applyProtection="0">
      <alignment horizontal="right" vertical="center"/>
    </xf>
    <xf numFmtId="198" fontId="84" fillId="0" borderId="33" applyNumberFormat="0" applyFill="0" applyBorder="0" applyAlignment="0" applyProtection="0">
      <alignment horizontal="right" vertical="center"/>
    </xf>
    <xf numFmtId="0" fontId="90" fillId="0" borderId="37" applyNumberFormat="0" applyFont="0" applyFill="0" applyAlignment="0" applyProtection="0"/>
    <xf numFmtId="0" fontId="17"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197" fontId="1"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xf numFmtId="0" fontId="1" fillId="0" borderId="0"/>
    <xf numFmtId="0" fontId="1" fillId="0" borderId="0"/>
    <xf numFmtId="0" fontId="1" fillId="0" borderId="0"/>
    <xf numFmtId="197" fontId="1" fillId="0" borderId="0"/>
    <xf numFmtId="0" fontId="2" fillId="0" borderId="0"/>
    <xf numFmtId="43" fontId="2" fillId="0" borderId="0" applyFont="0" applyFill="0" applyBorder="0" applyAlignment="0" applyProtection="0"/>
    <xf numFmtId="0" fontId="1" fillId="0" borderId="0"/>
    <xf numFmtId="0" fontId="95" fillId="0" borderId="0" applyNumberFormat="0" applyFill="0" applyBorder="0" applyAlignment="0" applyProtection="0">
      <alignment vertical="top"/>
      <protection locked="0"/>
    </xf>
    <xf numFmtId="197" fontId="1" fillId="0" borderId="0"/>
    <xf numFmtId="0" fontId="1" fillId="13" borderId="30" applyNumberFormat="0" applyFont="0" applyAlignment="0" applyProtection="0"/>
    <xf numFmtId="0" fontId="71" fillId="9"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0" borderId="0"/>
    <xf numFmtId="194" fontId="1" fillId="0" borderId="0" applyFont="0" applyFill="0" applyBorder="0" applyAlignment="0" applyProtection="0"/>
    <xf numFmtId="194" fontId="1" fillId="0" borderId="0" applyFont="0" applyFill="0" applyBorder="0" applyAlignment="0" applyProtection="0"/>
    <xf numFmtId="197" fontId="1" fillId="0" borderId="0"/>
    <xf numFmtId="0" fontId="1" fillId="0" borderId="0"/>
    <xf numFmtId="0" fontId="17" fillId="0" borderId="0"/>
    <xf numFmtId="0" fontId="1" fillId="0" borderId="0"/>
    <xf numFmtId="43" fontId="1"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7"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0" applyNumberFormat="0" applyFon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72">
    <xf numFmtId="188" fontId="0" fillId="0" borderId="0" xfId="0"/>
    <xf numFmtId="0" fontId="19" fillId="0" borderId="0" xfId="45" applyFont="1"/>
    <xf numFmtId="188" fontId="20" fillId="0" borderId="7" xfId="0" applyFont="1" applyBorder="1"/>
    <xf numFmtId="188" fontId="21" fillId="0" borderId="7" xfId="0" applyFont="1" applyBorder="1"/>
    <xf numFmtId="192" fontId="20" fillId="0" borderId="7" xfId="48" applyNumberFormat="1" applyFont="1" applyFill="1" applyBorder="1"/>
    <xf numFmtId="192" fontId="20" fillId="0" borderId="0" xfId="48" applyNumberFormat="1" applyFont="1" applyFill="1" applyBorder="1"/>
    <xf numFmtId="192" fontId="20" fillId="2" borderId="7" xfId="48" applyNumberFormat="1" applyFont="1" applyFill="1" applyBorder="1"/>
    <xf numFmtId="192" fontId="21" fillId="0" borderId="7" xfId="48" applyNumberFormat="1" applyFont="1" applyFill="1" applyBorder="1" applyAlignment="1"/>
    <xf numFmtId="192" fontId="21" fillId="0" borderId="0" xfId="48" applyNumberFormat="1" applyFont="1" applyFill="1" applyBorder="1"/>
    <xf numFmtId="192" fontId="21" fillId="2" borderId="7" xfId="48" applyNumberFormat="1" applyFont="1" applyFill="1" applyBorder="1"/>
    <xf numFmtId="192" fontId="21" fillId="0" borderId="1" xfId="48" applyNumberFormat="1" applyFont="1" applyFill="1" applyBorder="1"/>
    <xf numFmtId="192" fontId="21" fillId="0" borderId="7" xfId="48" applyNumberFormat="1" applyFont="1" applyFill="1" applyBorder="1"/>
    <xf numFmtId="192" fontId="22" fillId="0" borderId="7" xfId="48" applyNumberFormat="1" applyFont="1" applyFill="1" applyBorder="1"/>
    <xf numFmtId="192" fontId="22" fillId="0" borderId="0" xfId="48" applyNumberFormat="1" applyFont="1" applyFill="1" applyBorder="1"/>
    <xf numFmtId="192" fontId="22" fillId="2" borderId="7" xfId="48" applyNumberFormat="1" applyFont="1" applyFill="1" applyBorder="1"/>
    <xf numFmtId="188" fontId="23" fillId="0" borderId="7" xfId="0" applyFont="1" applyBorder="1"/>
    <xf numFmtId="188" fontId="21" fillId="0" borderId="0" xfId="0" applyFont="1"/>
    <xf numFmtId="189" fontId="21" fillId="0" borderId="0" xfId="9" applyNumberFormat="1" applyFont="1" applyFill="1"/>
    <xf numFmtId="3" fontId="22" fillId="0" borderId="8" xfId="0" applyNumberFormat="1" applyFont="1" applyBorder="1" applyAlignment="1">
      <alignment horizontal="left"/>
    </xf>
    <xf numFmtId="189" fontId="21" fillId="0" borderId="0" xfId="9" applyNumberFormat="1" applyFont="1" applyFill="1" applyBorder="1"/>
    <xf numFmtId="188" fontId="21" fillId="2" borderId="7" xfId="0" applyFont="1" applyFill="1" applyBorder="1"/>
    <xf numFmtId="188" fontId="21" fillId="0" borderId="1" xfId="0" applyFont="1" applyBorder="1"/>
    <xf numFmtId="3" fontId="20" fillId="0" borderId="7" xfId="0" applyNumberFormat="1" applyFont="1" applyBorder="1" applyAlignment="1">
      <alignment horizontal="left"/>
    </xf>
    <xf numFmtId="189" fontId="20" fillId="0" borderId="0" xfId="9" applyNumberFormat="1" applyFont="1" applyFill="1" applyBorder="1"/>
    <xf numFmtId="189" fontId="20" fillId="2" borderId="7" xfId="9" applyNumberFormat="1" applyFont="1" applyFill="1" applyBorder="1"/>
    <xf numFmtId="189" fontId="20" fillId="0" borderId="1" xfId="9" applyNumberFormat="1" applyFont="1" applyFill="1" applyBorder="1"/>
    <xf numFmtId="192" fontId="21" fillId="0" borderId="0" xfId="48" applyNumberFormat="1" applyFont="1" applyFill="1"/>
    <xf numFmtId="3" fontId="21" fillId="0" borderId="7" xfId="0" applyNumberFormat="1" applyFont="1" applyBorder="1" applyAlignment="1">
      <alignment horizontal="left"/>
    </xf>
    <xf numFmtId="189" fontId="21" fillId="2" borderId="7" xfId="9" applyNumberFormat="1" applyFont="1" applyFill="1" applyBorder="1"/>
    <xf numFmtId="189" fontId="21" fillId="0" borderId="1" xfId="9" applyNumberFormat="1" applyFont="1" applyFill="1" applyBorder="1"/>
    <xf numFmtId="188" fontId="21" fillId="2" borderId="7" xfId="48" applyNumberFormat="1" applyFont="1" applyFill="1" applyBorder="1"/>
    <xf numFmtId="9" fontId="20" fillId="0" borderId="7" xfId="48" applyFont="1" applyFill="1" applyBorder="1" applyAlignment="1">
      <alignment horizontal="left"/>
    </xf>
    <xf numFmtId="9" fontId="21" fillId="0" borderId="0" xfId="48" applyFont="1" applyFill="1"/>
    <xf numFmtId="3" fontId="22" fillId="0" borderId="7" xfId="0" applyNumberFormat="1" applyFont="1" applyBorder="1" applyAlignment="1">
      <alignment horizontal="left"/>
    </xf>
    <xf numFmtId="189" fontId="20" fillId="0" borderId="7" xfId="9" applyNumberFormat="1" applyFont="1" applyFill="1" applyBorder="1" applyAlignment="1">
      <alignment horizontal="left"/>
    </xf>
    <xf numFmtId="189" fontId="21" fillId="0" borderId="7" xfId="9" applyNumberFormat="1" applyFont="1" applyFill="1" applyBorder="1" applyAlignment="1">
      <alignment horizontal="left"/>
    </xf>
    <xf numFmtId="188" fontId="22" fillId="0" borderId="7" xfId="0" applyFont="1" applyBorder="1"/>
    <xf numFmtId="188" fontId="21" fillId="0" borderId="7" xfId="0" applyFont="1" applyBorder="1" applyAlignment="1">
      <alignment horizontal="left"/>
    </xf>
    <xf numFmtId="188" fontId="20" fillId="0" borderId="7" xfId="0" applyFont="1" applyBorder="1" applyAlignment="1">
      <alignment horizontal="left"/>
    </xf>
    <xf numFmtId="188" fontId="20" fillId="0" borderId="0" xfId="0" applyFont="1"/>
    <xf numFmtId="188" fontId="20" fillId="0" borderId="1" xfId="0" applyFont="1" applyBorder="1"/>
    <xf numFmtId="192" fontId="20" fillId="0" borderId="1" xfId="48" applyNumberFormat="1" applyFont="1" applyFill="1" applyBorder="1"/>
    <xf numFmtId="43" fontId="21" fillId="0" borderId="0" xfId="9" applyFont="1" applyFill="1" applyBorder="1"/>
    <xf numFmtId="188" fontId="20" fillId="2" borderId="7" xfId="0" applyFont="1" applyFill="1" applyBorder="1"/>
    <xf numFmtId="192" fontId="21" fillId="0" borderId="7" xfId="0" applyNumberFormat="1" applyFont="1" applyBorder="1"/>
    <xf numFmtId="9" fontId="20" fillId="0" borderId="7" xfId="48" applyFont="1" applyFill="1" applyBorder="1"/>
    <xf numFmtId="9" fontId="21" fillId="0" borderId="0" xfId="48" applyFont="1" applyFill="1" applyBorder="1"/>
    <xf numFmtId="189" fontId="21" fillId="0" borderId="7" xfId="9" applyNumberFormat="1" applyFont="1" applyFill="1" applyBorder="1"/>
    <xf numFmtId="9" fontId="21" fillId="2" borderId="7" xfId="48" applyFont="1" applyFill="1" applyBorder="1"/>
    <xf numFmtId="9" fontId="21" fillId="0" borderId="1" xfId="48" applyFont="1" applyFill="1" applyBorder="1"/>
    <xf numFmtId="189" fontId="24" fillId="0" borderId="7" xfId="9" applyNumberFormat="1" applyFont="1" applyFill="1" applyBorder="1" applyAlignment="1">
      <alignment horizontal="left"/>
    </xf>
    <xf numFmtId="189" fontId="24" fillId="0" borderId="0" xfId="9" applyNumberFormat="1" applyFont="1" applyFill="1" applyBorder="1"/>
    <xf numFmtId="189" fontId="24" fillId="2" borderId="7" xfId="9" applyNumberFormat="1" applyFont="1" applyFill="1" applyBorder="1"/>
    <xf numFmtId="189" fontId="24" fillId="0" borderId="1" xfId="9" applyNumberFormat="1" applyFont="1" applyFill="1" applyBorder="1"/>
    <xf numFmtId="189" fontId="23" fillId="0" borderId="7" xfId="9" applyNumberFormat="1" applyFont="1" applyFill="1" applyBorder="1" applyAlignment="1">
      <alignment horizontal="left"/>
    </xf>
    <xf numFmtId="189" fontId="23" fillId="0" borderId="0" xfId="9" applyNumberFormat="1" applyFont="1" applyFill="1" applyBorder="1"/>
    <xf numFmtId="189" fontId="23" fillId="2" borderId="7" xfId="9" applyNumberFormat="1" applyFont="1" applyFill="1" applyBorder="1"/>
    <xf numFmtId="189" fontId="23" fillId="0" borderId="1" xfId="9" applyNumberFormat="1" applyFont="1" applyFill="1" applyBorder="1"/>
    <xf numFmtId="189" fontId="21" fillId="0" borderId="7" xfId="9" applyNumberFormat="1" applyFont="1" applyBorder="1" applyAlignment="1">
      <alignment horizontal="left"/>
    </xf>
    <xf numFmtId="189" fontId="24" fillId="0" borderId="7" xfId="9" applyNumberFormat="1" applyFont="1" applyBorder="1" applyAlignment="1">
      <alignment horizontal="left"/>
    </xf>
    <xf numFmtId="189" fontId="23" fillId="0" borderId="7" xfId="9" applyNumberFormat="1" applyFont="1" applyBorder="1" applyAlignment="1">
      <alignment horizontal="left"/>
    </xf>
    <xf numFmtId="189" fontId="20" fillId="0" borderId="7" xfId="9" applyNumberFormat="1" applyFont="1" applyBorder="1" applyAlignment="1">
      <alignment horizontal="left"/>
    </xf>
    <xf numFmtId="191" fontId="21" fillId="0" borderId="0" xfId="14" applyNumberFormat="1" applyFont="1" applyFill="1" applyBorder="1"/>
    <xf numFmtId="191" fontId="21" fillId="2" borderId="7" xfId="14" applyNumberFormat="1" applyFont="1" applyFill="1" applyBorder="1"/>
    <xf numFmtId="191" fontId="21" fillId="0" borderId="1" xfId="14" applyNumberFormat="1" applyFont="1" applyFill="1" applyBorder="1"/>
    <xf numFmtId="43" fontId="20" fillId="0" borderId="7" xfId="9" applyFont="1" applyFill="1" applyBorder="1"/>
    <xf numFmtId="43" fontId="21" fillId="2" borderId="7" xfId="9" applyFont="1" applyFill="1" applyBorder="1"/>
    <xf numFmtId="43" fontId="21" fillId="0" borderId="1" xfId="9" applyFont="1" applyFill="1" applyBorder="1"/>
    <xf numFmtId="43" fontId="21" fillId="0" borderId="0" xfId="9" applyFont="1" applyFill="1"/>
    <xf numFmtId="190" fontId="21" fillId="0" borderId="0" xfId="0" applyNumberFormat="1" applyFont="1"/>
    <xf numFmtId="43" fontId="21" fillId="0" borderId="7" xfId="9" applyFont="1" applyBorder="1"/>
    <xf numFmtId="193" fontId="21" fillId="2" borderId="7" xfId="9" applyNumberFormat="1" applyFont="1" applyFill="1" applyBorder="1"/>
    <xf numFmtId="192" fontId="21" fillId="0" borderId="7" xfId="48" quotePrefix="1" applyNumberFormat="1" applyFont="1" applyFill="1" applyBorder="1" applyAlignment="1">
      <alignment horizontal="left"/>
    </xf>
    <xf numFmtId="192" fontId="20" fillId="0" borderId="7" xfId="48" applyNumberFormat="1" applyFont="1" applyFill="1" applyBorder="1" applyAlignment="1">
      <alignment horizontal="left"/>
    </xf>
    <xf numFmtId="192" fontId="21" fillId="0" borderId="7" xfId="48" applyNumberFormat="1" applyFont="1" applyFill="1" applyBorder="1" applyAlignment="1">
      <alignment horizontal="left"/>
    </xf>
    <xf numFmtId="192" fontId="23" fillId="0" borderId="7" xfId="48" quotePrefix="1" applyNumberFormat="1" applyFont="1" applyFill="1" applyBorder="1" applyAlignment="1">
      <alignment horizontal="left"/>
    </xf>
    <xf numFmtId="188" fontId="23" fillId="0" borderId="0" xfId="0" applyFont="1"/>
    <xf numFmtId="189" fontId="23" fillId="0" borderId="0" xfId="9" quotePrefix="1" applyNumberFormat="1" applyFont="1" applyFill="1" applyBorder="1" applyAlignment="1">
      <alignment horizontal="left"/>
    </xf>
    <xf numFmtId="189" fontId="23" fillId="0" borderId="1" xfId="9" quotePrefix="1" applyNumberFormat="1" applyFont="1" applyFill="1" applyBorder="1" applyAlignment="1">
      <alignment horizontal="left"/>
    </xf>
    <xf numFmtId="192" fontId="23" fillId="0" borderId="0" xfId="48" quotePrefix="1" applyNumberFormat="1" applyFont="1" applyFill="1" applyAlignment="1">
      <alignment horizontal="left"/>
    </xf>
    <xf numFmtId="189" fontId="21" fillId="0" borderId="6" xfId="9" applyNumberFormat="1" applyFont="1" applyFill="1" applyBorder="1"/>
    <xf numFmtId="192" fontId="20" fillId="0" borderId="0" xfId="48" applyNumberFormat="1" applyFont="1" applyFill="1" applyAlignment="1">
      <alignment horizontal="left"/>
    </xf>
    <xf numFmtId="9" fontId="22" fillId="0" borderId="7" xfId="48" applyFont="1" applyFill="1" applyBorder="1" applyAlignment="1">
      <alignment horizontal="left"/>
    </xf>
    <xf numFmtId="188" fontId="25" fillId="0" borderId="0" xfId="0" applyFont="1"/>
    <xf numFmtId="188" fontId="26" fillId="0" borderId="0" xfId="0" applyFont="1"/>
    <xf numFmtId="188" fontId="27" fillId="0" borderId="0" xfId="0" applyFont="1"/>
    <xf numFmtId="192" fontId="26" fillId="0" borderId="0" xfId="48" applyNumberFormat="1" applyFont="1"/>
    <xf numFmtId="0" fontId="22" fillId="0" borderId="7" xfId="43" applyFont="1" applyBorder="1"/>
    <xf numFmtId="0" fontId="21" fillId="0" borderId="7" xfId="43" applyFont="1" applyBorder="1"/>
    <xf numFmtId="189" fontId="21" fillId="0" borderId="0" xfId="9" applyNumberFormat="1" applyFont="1" applyBorder="1"/>
    <xf numFmtId="189" fontId="21" fillId="0" borderId="1" xfId="9" applyNumberFormat="1" applyFont="1" applyBorder="1"/>
    <xf numFmtId="0" fontId="20" fillId="0" borderId="7" xfId="43" applyFont="1" applyBorder="1" applyAlignment="1">
      <alignment wrapText="1"/>
    </xf>
    <xf numFmtId="0" fontId="20" fillId="0" borderId="7" xfId="43" applyFont="1" applyBorder="1"/>
    <xf numFmtId="189" fontId="20" fillId="0" borderId="0" xfId="9" applyNumberFormat="1" applyFont="1" applyBorder="1"/>
    <xf numFmtId="9" fontId="21" fillId="0" borderId="0" xfId="48" applyFont="1" applyBorder="1"/>
    <xf numFmtId="189" fontId="21" fillId="2" borderId="7" xfId="48" applyNumberFormat="1" applyFont="1" applyFill="1" applyBorder="1"/>
    <xf numFmtId="0" fontId="21" fillId="0" borderId="7" xfId="43" applyFont="1" applyBorder="1" applyAlignment="1">
      <alignment wrapText="1"/>
    </xf>
    <xf numFmtId="0" fontId="21" fillId="0" borderId="9" xfId="43" applyFont="1" applyBorder="1"/>
    <xf numFmtId="189" fontId="21" fillId="0" borderId="6" xfId="9" applyNumberFormat="1" applyFont="1" applyBorder="1"/>
    <xf numFmtId="189" fontId="21" fillId="0" borderId="10" xfId="9" applyNumberFormat="1" applyFont="1" applyBorder="1"/>
    <xf numFmtId="189" fontId="21" fillId="0" borderId="0" xfId="9" applyNumberFormat="1" applyFont="1"/>
    <xf numFmtId="192" fontId="21" fillId="0" borderId="0" xfId="48" applyNumberFormat="1" applyFont="1"/>
    <xf numFmtId="3" fontId="20" fillId="0" borderId="7" xfId="44" applyNumberFormat="1" applyFont="1" applyBorder="1" applyAlignment="1">
      <alignment horizontal="left"/>
    </xf>
    <xf numFmtId="3" fontId="21" fillId="0" borderId="7" xfId="44" applyNumberFormat="1" applyFont="1" applyBorder="1" applyAlignment="1">
      <alignment horizontal="left"/>
    </xf>
    <xf numFmtId="3" fontId="24" fillId="0" borderId="7" xfId="44" applyNumberFormat="1" applyFont="1" applyBorder="1" applyAlignment="1">
      <alignment horizontal="left"/>
    </xf>
    <xf numFmtId="189" fontId="29" fillId="2" borderId="7" xfId="9" applyNumberFormat="1" applyFont="1" applyFill="1" applyBorder="1"/>
    <xf numFmtId="43" fontId="26" fillId="0" borderId="0" xfId="9" applyFont="1"/>
    <xf numFmtId="43" fontId="21" fillId="0" borderId="0" xfId="9" applyFont="1"/>
    <xf numFmtId="189" fontId="20" fillId="0" borderId="1" xfId="9" applyNumberFormat="1" applyFont="1" applyBorder="1"/>
    <xf numFmtId="192" fontId="20" fillId="0" borderId="0" xfId="48" applyNumberFormat="1" applyFont="1"/>
    <xf numFmtId="189" fontId="23" fillId="0" borderId="0" xfId="9" applyNumberFormat="1" applyFont="1" applyBorder="1"/>
    <xf numFmtId="192" fontId="21" fillId="0" borderId="0" xfId="48" applyNumberFormat="1" applyFont="1" applyBorder="1"/>
    <xf numFmtId="188" fontId="21" fillId="2" borderId="7" xfId="9" applyNumberFormat="1" applyFont="1" applyFill="1" applyBorder="1"/>
    <xf numFmtId="193" fontId="21" fillId="0" borderId="7" xfId="0" applyNumberFormat="1" applyFont="1" applyBorder="1"/>
    <xf numFmtId="193" fontId="21" fillId="0" borderId="0" xfId="9" applyNumberFormat="1" applyFont="1" applyBorder="1"/>
    <xf numFmtId="193" fontId="21" fillId="0" borderId="0" xfId="0" applyNumberFormat="1" applyFont="1"/>
    <xf numFmtId="193" fontId="21" fillId="0" borderId="9" xfId="0" applyNumberFormat="1" applyFont="1" applyBorder="1"/>
    <xf numFmtId="193" fontId="21" fillId="0" borderId="6" xfId="9" applyNumberFormat="1" applyFont="1" applyBorder="1"/>
    <xf numFmtId="193" fontId="21" fillId="2" borderId="9" xfId="9" applyNumberFormat="1" applyFont="1" applyFill="1" applyBorder="1"/>
    <xf numFmtId="1" fontId="21" fillId="0" borderId="0" xfId="0" applyNumberFormat="1" applyFont="1"/>
    <xf numFmtId="9" fontId="21" fillId="0" borderId="0" xfId="48" applyFont="1"/>
    <xf numFmtId="188" fontId="30" fillId="0" borderId="0" xfId="0" applyFont="1"/>
    <xf numFmtId="3" fontId="31" fillId="0" borderId="7" xfId="0" applyNumberFormat="1" applyFont="1" applyBorder="1" applyAlignment="1">
      <alignment horizontal="left"/>
    </xf>
    <xf numFmtId="3" fontId="22" fillId="0" borderId="7" xfId="44" applyNumberFormat="1" applyFont="1" applyBorder="1" applyAlignment="1">
      <alignment horizontal="left"/>
    </xf>
    <xf numFmtId="189" fontId="22" fillId="0" borderId="0" xfId="9" applyNumberFormat="1" applyFont="1" applyBorder="1"/>
    <xf numFmtId="3" fontId="20" fillId="0" borderId="9" xfId="44" applyNumberFormat="1" applyFont="1" applyBorder="1" applyAlignment="1">
      <alignment horizontal="left"/>
    </xf>
    <xf numFmtId="3" fontId="21" fillId="0" borderId="0" xfId="44" applyNumberFormat="1" applyFont="1" applyAlignment="1">
      <alignment horizontal="left"/>
    </xf>
    <xf numFmtId="3" fontId="20" fillId="0" borderId="0" xfId="44" applyNumberFormat="1" applyFont="1" applyAlignment="1">
      <alignment horizontal="left"/>
    </xf>
    <xf numFmtId="37" fontId="21" fillId="0" borderId="0" xfId="0" applyNumberFormat="1" applyFont="1"/>
    <xf numFmtId="37" fontId="21" fillId="2" borderId="7" xfId="0" applyNumberFormat="1" applyFont="1" applyFill="1" applyBorder="1"/>
    <xf numFmtId="43" fontId="21" fillId="0" borderId="0" xfId="9" applyFont="1" applyBorder="1"/>
    <xf numFmtId="37" fontId="20" fillId="0" borderId="0" xfId="0" applyNumberFormat="1" applyFont="1"/>
    <xf numFmtId="37" fontId="20" fillId="2" borderId="7" xfId="0" applyNumberFormat="1" applyFont="1" applyFill="1" applyBorder="1"/>
    <xf numFmtId="37" fontId="20" fillId="0" borderId="11" xfId="0" applyNumberFormat="1" applyFont="1" applyBorder="1"/>
    <xf numFmtId="37" fontId="20" fillId="2" borderId="12" xfId="0" applyNumberFormat="1" applyFont="1" applyFill="1" applyBorder="1"/>
    <xf numFmtId="188" fontId="27" fillId="0" borderId="0" xfId="0" applyFont="1" applyAlignment="1">
      <alignment horizontal="center"/>
    </xf>
    <xf numFmtId="188" fontId="32" fillId="0" borderId="0" xfId="0" applyFont="1"/>
    <xf numFmtId="188" fontId="20" fillId="0" borderId="0" xfId="0" applyFont="1" applyAlignment="1">
      <alignment horizontal="center"/>
    </xf>
    <xf numFmtId="38" fontId="21" fillId="0" borderId="7" xfId="0" applyNumberFormat="1" applyFont="1" applyBorder="1"/>
    <xf numFmtId="188" fontId="33" fillId="0" borderId="0" xfId="0" applyFont="1"/>
    <xf numFmtId="38" fontId="20" fillId="0" borderId="7" xfId="0" applyNumberFormat="1" applyFont="1" applyBorder="1"/>
    <xf numFmtId="40" fontId="21" fillId="0" borderId="7" xfId="0" applyNumberFormat="1" applyFont="1" applyBorder="1"/>
    <xf numFmtId="43" fontId="31" fillId="0" borderId="0" xfId="9" applyFont="1" applyBorder="1"/>
    <xf numFmtId="40" fontId="21" fillId="0" borderId="9" xfId="0" applyNumberFormat="1" applyFont="1" applyBorder="1"/>
    <xf numFmtId="43" fontId="31" fillId="0" borderId="6" xfId="9" applyFont="1" applyBorder="1"/>
    <xf numFmtId="192" fontId="21" fillId="0" borderId="0" xfId="0" applyNumberFormat="1" applyFont="1"/>
    <xf numFmtId="188" fontId="34" fillId="0" borderId="0" xfId="0" applyFont="1"/>
    <xf numFmtId="0" fontId="21" fillId="0" borderId="0" xfId="0" applyNumberFormat="1" applyFont="1"/>
    <xf numFmtId="1" fontId="20" fillId="0" borderId="0" xfId="0" applyNumberFormat="1" applyFont="1"/>
    <xf numFmtId="3" fontId="20" fillId="0" borderId="0" xfId="44" applyNumberFormat="1" applyFont="1"/>
    <xf numFmtId="189" fontId="29" fillId="0" borderId="0" xfId="9" applyNumberFormat="1" applyFont="1" applyBorder="1"/>
    <xf numFmtId="43" fontId="21" fillId="0" borderId="0" xfId="9" applyFont="1" applyBorder="1" applyAlignment="1">
      <alignment horizontal="right"/>
    </xf>
    <xf numFmtId="43" fontId="21" fillId="2" borderId="7" xfId="9" applyFont="1" applyFill="1" applyBorder="1" applyAlignment="1">
      <alignment horizontal="right"/>
    </xf>
    <xf numFmtId="189" fontId="29" fillId="0" borderId="1" xfId="9" applyNumberFormat="1" applyFont="1" applyBorder="1"/>
    <xf numFmtId="192" fontId="20" fillId="0" borderId="0" xfId="48" applyNumberFormat="1" applyFont="1" applyBorder="1"/>
    <xf numFmtId="0" fontId="0" fillId="0" borderId="0" xfId="0" applyNumberFormat="1"/>
    <xf numFmtId="189" fontId="34" fillId="0" borderId="0" xfId="9" applyNumberFormat="1" applyFont="1"/>
    <xf numFmtId="189" fontId="0" fillId="0" borderId="0" xfId="9" applyNumberFormat="1" applyFont="1"/>
    <xf numFmtId="188" fontId="16" fillId="0" borderId="0" xfId="0" applyFont="1"/>
    <xf numFmtId="189" fontId="0" fillId="0" borderId="0" xfId="9" applyNumberFormat="1" applyFont="1" applyFill="1"/>
    <xf numFmtId="1" fontId="0" fillId="0" borderId="0" xfId="0" applyNumberFormat="1"/>
    <xf numFmtId="1" fontId="34" fillId="0" borderId="0" xfId="0" applyNumberFormat="1" applyFont="1"/>
    <xf numFmtId="189" fontId="0" fillId="0" borderId="0" xfId="0" applyNumberFormat="1"/>
    <xf numFmtId="189" fontId="21" fillId="0" borderId="1" xfId="9" applyNumberFormat="1" applyFont="1" applyBorder="1" applyAlignment="1">
      <alignment vertical="center" wrapText="1"/>
    </xf>
    <xf numFmtId="189" fontId="35" fillId="2" borderId="1" xfId="9" applyNumberFormat="1" applyFont="1" applyFill="1" applyBorder="1" applyAlignment="1">
      <alignment vertical="center" wrapText="1"/>
    </xf>
    <xf numFmtId="189" fontId="35" fillId="0" borderId="1" xfId="9" applyNumberFormat="1" applyFont="1" applyBorder="1" applyAlignment="1">
      <alignment vertical="center" wrapText="1"/>
    </xf>
    <xf numFmtId="189" fontId="35" fillId="0" borderId="1" xfId="9" applyNumberFormat="1" applyFont="1" applyBorder="1" applyAlignment="1">
      <alignment vertical="center"/>
    </xf>
    <xf numFmtId="189" fontId="21" fillId="0" borderId="1" xfId="9" applyNumberFormat="1" applyFont="1" applyFill="1" applyBorder="1" applyAlignment="1">
      <alignment vertical="center"/>
    </xf>
    <xf numFmtId="189" fontId="21" fillId="0" borderId="1" xfId="9" applyNumberFormat="1" applyFont="1" applyFill="1" applyBorder="1" applyAlignment="1">
      <alignment vertical="center" wrapText="1"/>
    </xf>
    <xf numFmtId="189" fontId="21" fillId="0" borderId="1" xfId="9" applyNumberFormat="1" applyFont="1" applyFill="1" applyBorder="1" applyAlignment="1">
      <alignment vertical="top"/>
    </xf>
    <xf numFmtId="189" fontId="21" fillId="0" borderId="1" xfId="9" applyNumberFormat="1" applyFont="1" applyBorder="1" applyAlignment="1">
      <alignment vertical="center"/>
    </xf>
    <xf numFmtId="188" fontId="35" fillId="0" borderId="1" xfId="0" applyFont="1" applyBorder="1" applyAlignment="1">
      <alignment vertical="center" wrapText="1"/>
    </xf>
    <xf numFmtId="189" fontId="35" fillId="0" borderId="1" xfId="9" applyNumberFormat="1" applyFont="1" applyFill="1" applyBorder="1" applyAlignment="1">
      <alignment vertical="center"/>
    </xf>
    <xf numFmtId="189" fontId="35" fillId="0" borderId="1" xfId="9" applyNumberFormat="1" applyFont="1" applyFill="1" applyBorder="1" applyAlignment="1">
      <alignment vertical="center" wrapText="1"/>
    </xf>
    <xf numFmtId="188" fontId="35" fillId="0" borderId="7" xfId="0" applyFont="1" applyBorder="1" applyAlignment="1">
      <alignment vertical="center" wrapText="1"/>
    </xf>
    <xf numFmtId="188" fontId="35" fillId="0" borderId="7" xfId="0" applyFont="1" applyBorder="1" applyAlignment="1">
      <alignment vertical="center"/>
    </xf>
    <xf numFmtId="188" fontId="21" fillId="0" borderId="7" xfId="0" applyFont="1" applyBorder="1" applyAlignment="1">
      <alignment vertical="center"/>
    </xf>
    <xf numFmtId="188" fontId="21" fillId="0" borderId="7" xfId="0" applyFont="1" applyBorder="1" applyAlignment="1">
      <alignment vertical="center" wrapText="1"/>
    </xf>
    <xf numFmtId="188" fontId="21" fillId="0" borderId="7" xfId="0" applyFont="1" applyBorder="1" applyAlignment="1">
      <alignment vertical="top"/>
    </xf>
    <xf numFmtId="188" fontId="36" fillId="0" borderId="7" xfId="0" applyFont="1" applyBorder="1" applyAlignment="1">
      <alignment vertical="center"/>
    </xf>
    <xf numFmtId="188" fontId="0" fillId="0" borderId="0" xfId="0" applyAlignment="1">
      <alignment vertical="center"/>
    </xf>
    <xf numFmtId="188" fontId="37" fillId="0" borderId="0" xfId="0" applyFont="1"/>
    <xf numFmtId="189" fontId="21" fillId="2" borderId="1" xfId="9" applyNumberFormat="1" applyFont="1" applyFill="1" applyBorder="1" applyAlignment="1">
      <alignment vertical="center" wrapText="1"/>
    </xf>
    <xf numFmtId="189" fontId="15" fillId="0" borderId="0" xfId="9" applyNumberFormat="1" applyFont="1" applyFill="1"/>
    <xf numFmtId="189" fontId="15" fillId="0" borderId="0" xfId="9" applyNumberFormat="1" applyFont="1"/>
    <xf numFmtId="189" fontId="37" fillId="0" borderId="0" xfId="9" applyNumberFormat="1" applyFont="1"/>
    <xf numFmtId="188" fontId="38" fillId="5" borderId="9" xfId="0" applyFont="1" applyFill="1" applyBorder="1" applyAlignment="1">
      <alignment horizontal="center"/>
    </xf>
    <xf numFmtId="189" fontId="38" fillId="5" borderId="6" xfId="9" applyNumberFormat="1" applyFont="1" applyFill="1" applyBorder="1" applyAlignment="1">
      <alignment horizontal="center"/>
    </xf>
    <xf numFmtId="189" fontId="38" fillId="5" borderId="9" xfId="9" applyNumberFormat="1" applyFont="1" applyFill="1" applyBorder="1" applyAlignment="1">
      <alignment horizontal="center"/>
    </xf>
    <xf numFmtId="189" fontId="38" fillId="5" borderId="4" xfId="9" applyNumberFormat="1" applyFont="1" applyFill="1" applyBorder="1" applyAlignment="1">
      <alignment horizontal="center"/>
    </xf>
    <xf numFmtId="189" fontId="38" fillId="5" borderId="5" xfId="9" applyNumberFormat="1" applyFont="1" applyFill="1" applyBorder="1" applyAlignment="1">
      <alignment horizontal="center"/>
    </xf>
    <xf numFmtId="188" fontId="39" fillId="0" borderId="0" xfId="0" applyFont="1"/>
    <xf numFmtId="188" fontId="38" fillId="5" borderId="4" xfId="0" applyFont="1" applyFill="1" applyBorder="1" applyAlignment="1">
      <alignment horizontal="center"/>
    </xf>
    <xf numFmtId="188" fontId="38" fillId="5" borderId="5" xfId="0" applyFont="1" applyFill="1" applyBorder="1" applyAlignment="1">
      <alignment horizontal="center"/>
    </xf>
    <xf numFmtId="188" fontId="38" fillId="5" borderId="13" xfId="0" applyFont="1" applyFill="1" applyBorder="1" applyAlignment="1">
      <alignment horizontal="center"/>
    </xf>
    <xf numFmtId="188" fontId="38" fillId="0" borderId="0" xfId="0" applyFont="1"/>
    <xf numFmtId="17" fontId="38" fillId="5" borderId="6" xfId="44" applyNumberFormat="1" applyFont="1" applyFill="1" applyBorder="1" applyAlignment="1">
      <alignment horizontal="center"/>
    </xf>
    <xf numFmtId="17" fontId="38" fillId="5" borderId="9" xfId="44" applyNumberFormat="1" applyFont="1" applyFill="1" applyBorder="1" applyAlignment="1">
      <alignment horizontal="center"/>
    </xf>
    <xf numFmtId="192" fontId="20" fillId="0" borderId="7" xfId="48" quotePrefix="1" applyNumberFormat="1" applyFont="1" applyFill="1" applyBorder="1" applyAlignment="1">
      <alignment horizontal="left"/>
    </xf>
    <xf numFmtId="0" fontId="21" fillId="0" borderId="0" xfId="48" applyNumberFormat="1" applyFont="1" applyFill="1" applyBorder="1"/>
    <xf numFmtId="0" fontId="21" fillId="0" borderId="1" xfId="48" applyNumberFormat="1" applyFont="1" applyFill="1" applyBorder="1"/>
    <xf numFmtId="188" fontId="40" fillId="0" borderId="0" xfId="0" applyFont="1"/>
    <xf numFmtId="38" fontId="22" fillId="0" borderId="7" xfId="0" applyNumberFormat="1" applyFont="1" applyBorder="1"/>
    <xf numFmtId="188" fontId="41" fillId="0" borderId="0" xfId="0" applyFont="1"/>
    <xf numFmtId="188" fontId="16" fillId="0" borderId="0" xfId="0" applyFont="1" applyAlignment="1">
      <alignment horizontal="right"/>
    </xf>
    <xf numFmtId="188" fontId="20" fillId="2" borderId="7" xfId="0" applyFont="1" applyFill="1" applyBorder="1" applyAlignment="1">
      <alignment horizontal="right"/>
    </xf>
    <xf numFmtId="189" fontId="35" fillId="2" borderId="7" xfId="9" applyNumberFormat="1" applyFont="1" applyFill="1" applyBorder="1" applyAlignment="1">
      <alignment horizontal="right" vertical="center" wrapText="1"/>
    </xf>
    <xf numFmtId="189" fontId="21" fillId="2" borderId="7" xfId="9" applyNumberFormat="1" applyFont="1" applyFill="1" applyBorder="1" applyAlignment="1">
      <alignment horizontal="right" vertical="center" wrapText="1"/>
    </xf>
    <xf numFmtId="188" fontId="22" fillId="0" borderId="0" xfId="0" applyFont="1"/>
    <xf numFmtId="189" fontId="29" fillId="0" borderId="0" xfId="9" applyNumberFormat="1" applyFont="1" applyFill="1" applyBorder="1"/>
    <xf numFmtId="0" fontId="21" fillId="0" borderId="0" xfId="14" applyNumberFormat="1" applyFont="1" applyFill="1" applyBorder="1"/>
    <xf numFmtId="0" fontId="21" fillId="2" borderId="7" xfId="14" applyNumberFormat="1" applyFont="1" applyFill="1" applyBorder="1"/>
    <xf numFmtId="195" fontId="21" fillId="0" borderId="1" xfId="14" applyNumberFormat="1" applyFont="1" applyFill="1" applyBorder="1"/>
    <xf numFmtId="195" fontId="21" fillId="0" borderId="0" xfId="0" applyNumberFormat="1" applyFont="1"/>
    <xf numFmtId="195" fontId="21" fillId="0" borderId="0" xfId="14" applyNumberFormat="1" applyFont="1" applyFill="1" applyBorder="1"/>
    <xf numFmtId="195" fontId="21" fillId="2" borderId="7" xfId="14" applyNumberFormat="1" applyFont="1" applyFill="1" applyBorder="1"/>
    <xf numFmtId="0" fontId="20" fillId="0" borderId="0" xfId="0" applyNumberFormat="1" applyFont="1" applyAlignment="1">
      <alignment horizontal="center"/>
    </xf>
    <xf numFmtId="0" fontId="38" fillId="0" borderId="5" xfId="0" applyNumberFormat="1" applyFont="1" applyBorder="1" applyAlignment="1">
      <alignment horizontal="center"/>
    </xf>
    <xf numFmtId="0" fontId="20" fillId="0" borderId="7" xfId="0" applyNumberFormat="1" applyFont="1" applyBorder="1" applyAlignment="1">
      <alignment horizontal="center"/>
    </xf>
    <xf numFmtId="0" fontId="20" fillId="0" borderId="7" xfId="48" applyNumberFormat="1" applyFont="1" applyFill="1" applyBorder="1" applyAlignment="1">
      <alignment horizontal="center"/>
    </xf>
    <xf numFmtId="0" fontId="20" fillId="0" borderId="7" xfId="9" applyNumberFormat="1" applyFont="1" applyFill="1" applyBorder="1" applyAlignment="1">
      <alignment horizontal="center"/>
    </xf>
    <xf numFmtId="1" fontId="20" fillId="0" borderId="7" xfId="0" applyNumberFormat="1" applyFont="1" applyBorder="1" applyAlignment="1">
      <alignment horizontal="center"/>
    </xf>
    <xf numFmtId="43" fontId="20" fillId="0" borderId="7" xfId="9" applyFont="1" applyFill="1" applyBorder="1" applyAlignment="1">
      <alignment horizontal="center"/>
    </xf>
    <xf numFmtId="0" fontId="22" fillId="0" borderId="7" xfId="48" quotePrefix="1" applyNumberFormat="1" applyFont="1" applyFill="1" applyBorder="1" applyAlignment="1">
      <alignment horizontal="center"/>
    </xf>
    <xf numFmtId="195" fontId="20" fillId="0" borderId="7" xfId="0" applyNumberFormat="1" applyFont="1" applyBorder="1"/>
    <xf numFmtId="189" fontId="21" fillId="2" borderId="9" xfId="9" applyNumberFormat="1" applyFont="1" applyFill="1" applyBorder="1"/>
    <xf numFmtId="188" fontId="21" fillId="0" borderId="14" xfId="0" applyFont="1" applyBorder="1"/>
    <xf numFmtId="189" fontId="21" fillId="0" borderId="14" xfId="9" applyNumberFormat="1" applyFont="1" applyFill="1" applyBorder="1"/>
    <xf numFmtId="43" fontId="20" fillId="0" borderId="0" xfId="9" applyFont="1"/>
    <xf numFmtId="189" fontId="20" fillId="0" borderId="0" xfId="9" applyNumberFormat="1" applyFont="1" applyFill="1"/>
    <xf numFmtId="189" fontId="20" fillId="0" borderId="0" xfId="9" applyNumberFormat="1" applyFont="1"/>
    <xf numFmtId="189" fontId="23" fillId="0" borderId="0" xfId="9" applyNumberFormat="1" applyFont="1"/>
    <xf numFmtId="189" fontId="22" fillId="0" borderId="0" xfId="9" applyNumberFormat="1" applyFont="1" applyFill="1"/>
    <xf numFmtId="193" fontId="31" fillId="0" borderId="0" xfId="9" applyNumberFormat="1" applyFont="1" applyBorder="1"/>
    <xf numFmtId="193" fontId="31" fillId="0" borderId="6" xfId="9" applyNumberFormat="1" applyFont="1" applyBorder="1"/>
    <xf numFmtId="193" fontId="31" fillId="0" borderId="0" xfId="9" applyNumberFormat="1" applyFont="1" applyFill="1" applyBorder="1"/>
    <xf numFmtId="193" fontId="31" fillId="0" borderId="6" xfId="9" applyNumberFormat="1" applyFont="1" applyFill="1" applyBorder="1"/>
    <xf numFmtId="188" fontId="35" fillId="0" borderId="0" xfId="0" applyFont="1" applyAlignment="1">
      <alignment vertical="center" wrapText="1"/>
    </xf>
    <xf numFmtId="189" fontId="35" fillId="0" borderId="0" xfId="9" applyNumberFormat="1" applyFont="1" applyFill="1" applyBorder="1" applyAlignment="1">
      <alignment vertical="center" wrapText="1"/>
    </xf>
    <xf numFmtId="189" fontId="21" fillId="0" borderId="0" xfId="9" applyNumberFormat="1" applyFont="1" applyFill="1" applyBorder="1" applyAlignment="1">
      <alignment vertical="center"/>
    </xf>
    <xf numFmtId="189" fontId="21" fillId="0" borderId="0" xfId="9" applyNumberFormat="1" applyFont="1" applyFill="1" applyBorder="1" applyAlignment="1">
      <alignment vertical="center" wrapText="1"/>
    </xf>
    <xf numFmtId="189" fontId="21" fillId="0" borderId="0" xfId="9" applyNumberFormat="1" applyFont="1" applyFill="1" applyBorder="1" applyAlignment="1">
      <alignment vertical="top"/>
    </xf>
    <xf numFmtId="189" fontId="35" fillId="0" borderId="0" xfId="9" applyNumberFormat="1" applyFont="1" applyFill="1" applyBorder="1" applyAlignment="1">
      <alignment vertical="center"/>
    </xf>
    <xf numFmtId="1" fontId="35" fillId="0" borderId="0" xfId="0" applyNumberFormat="1" applyFont="1" applyAlignment="1">
      <alignment vertical="center" wrapText="1"/>
    </xf>
    <xf numFmtId="189" fontId="35" fillId="0" borderId="0" xfId="9" applyNumberFormat="1" applyFont="1" applyBorder="1" applyAlignment="1">
      <alignment vertical="center" wrapText="1"/>
    </xf>
    <xf numFmtId="189" fontId="21" fillId="0" borderId="0" xfId="9" applyNumberFormat="1" applyFont="1" applyBorder="1" applyAlignment="1">
      <alignment vertical="center" wrapText="1"/>
    </xf>
    <xf numFmtId="189" fontId="21" fillId="0" borderId="0" xfId="9" applyNumberFormat="1" applyFont="1" applyBorder="1" applyAlignment="1">
      <alignment vertical="center"/>
    </xf>
    <xf numFmtId="189" fontId="35" fillId="0" borderId="0" xfId="9" applyNumberFormat="1" applyFont="1" applyBorder="1" applyAlignment="1">
      <alignment vertical="center"/>
    </xf>
    <xf numFmtId="189" fontId="20" fillId="0" borderId="0" xfId="9" applyNumberFormat="1" applyFont="1" applyBorder="1" applyAlignment="1">
      <alignment vertical="center"/>
    </xf>
    <xf numFmtId="189" fontId="21" fillId="0" borderId="14" xfId="9" applyNumberFormat="1" applyFont="1" applyBorder="1"/>
    <xf numFmtId="189" fontId="21" fillId="0" borderId="15" xfId="9" applyNumberFormat="1" applyFont="1" applyBorder="1"/>
    <xf numFmtId="188" fontId="38" fillId="5" borderId="16" xfId="0" applyFont="1" applyFill="1" applyBorder="1" applyAlignment="1">
      <alignment horizontal="center"/>
    </xf>
    <xf numFmtId="188" fontId="20" fillId="0" borderId="0" xfId="0" applyFont="1" applyAlignment="1">
      <alignment horizontal="center" vertical="center"/>
    </xf>
    <xf numFmtId="189" fontId="21" fillId="0" borderId="0" xfId="9" applyNumberFormat="1" applyFont="1" applyFill="1" applyBorder="1" applyAlignment="1">
      <alignment horizontal="center" vertical="center"/>
    </xf>
    <xf numFmtId="192" fontId="21" fillId="0" borderId="0" xfId="48" applyNumberFormat="1" applyFont="1" applyFill="1" applyBorder="1" applyAlignment="1">
      <alignment horizontal="right" vertical="center"/>
    </xf>
    <xf numFmtId="192" fontId="22" fillId="0" borderId="0" xfId="48" applyNumberFormat="1" applyFont="1" applyFill="1" applyBorder="1" applyAlignment="1">
      <alignment horizontal="right"/>
    </xf>
    <xf numFmtId="192" fontId="22" fillId="0" borderId="0" xfId="48" applyNumberFormat="1" applyFont="1" applyFill="1"/>
    <xf numFmtId="189" fontId="24" fillId="0" borderId="0" xfId="9" applyNumberFormat="1" applyFont="1" applyBorder="1"/>
    <xf numFmtId="189" fontId="24" fillId="0" borderId="1" xfId="9" applyNumberFormat="1" applyFont="1" applyBorder="1"/>
    <xf numFmtId="188" fontId="24" fillId="0" borderId="0" xfId="0" applyFont="1"/>
    <xf numFmtId="192" fontId="30" fillId="0" borderId="0" xfId="48" applyNumberFormat="1" applyFont="1" applyFill="1" applyBorder="1"/>
    <xf numFmtId="188" fontId="20" fillId="0" borderId="14" xfId="0" applyFont="1" applyBorder="1" applyAlignment="1">
      <alignment vertical="center"/>
    </xf>
    <xf numFmtId="189" fontId="42" fillId="2" borderId="7" xfId="9" applyNumberFormat="1" applyFont="1" applyFill="1" applyBorder="1"/>
    <xf numFmtId="189" fontId="42" fillId="0" borderId="0" xfId="9" applyNumberFormat="1" applyFont="1" applyFill="1" applyBorder="1"/>
    <xf numFmtId="0" fontId="28" fillId="0" borderId="0" xfId="31" applyNumberFormat="1" applyFont="1" applyFill="1" applyAlignment="1" applyProtection="1">
      <alignment horizontal="center"/>
    </xf>
    <xf numFmtId="188" fontId="43" fillId="0" borderId="0" xfId="0" applyFont="1"/>
    <xf numFmtId="189" fontId="38" fillId="5" borderId="4" xfId="9" applyNumberFormat="1" applyFont="1" applyFill="1" applyBorder="1" applyAlignment="1">
      <alignment horizontal="center" vertical="center" wrapText="1"/>
    </xf>
    <xf numFmtId="188" fontId="38" fillId="5" borderId="17" xfId="0" applyFont="1" applyFill="1" applyBorder="1" applyAlignment="1">
      <alignment vertical="center"/>
    </xf>
    <xf numFmtId="189" fontId="38" fillId="5" borderId="13" xfId="9" applyNumberFormat="1" applyFont="1" applyFill="1" applyBorder="1" applyAlignment="1">
      <alignment horizontal="center" vertical="center" wrapText="1"/>
    </xf>
    <xf numFmtId="188" fontId="20" fillId="0" borderId="14" xfId="0" applyFont="1" applyBorder="1"/>
    <xf numFmtId="188" fontId="20" fillId="0" borderId="15" xfId="0" applyFont="1" applyBorder="1"/>
    <xf numFmtId="189" fontId="21" fillId="0" borderId="14" xfId="9" applyNumberFormat="1" applyFont="1" applyFill="1" applyBorder="1" applyAlignment="1">
      <alignment horizontal="left"/>
    </xf>
    <xf numFmtId="189" fontId="20" fillId="0" borderId="14" xfId="9" applyNumberFormat="1" applyFont="1" applyFill="1" applyBorder="1" applyAlignment="1">
      <alignment horizontal="left"/>
    </xf>
    <xf numFmtId="188" fontId="22" fillId="0" borderId="14" xfId="0" applyFont="1" applyBorder="1"/>
    <xf numFmtId="188" fontId="21" fillId="0" borderId="14" xfId="0" applyFont="1" applyBorder="1" applyAlignment="1">
      <alignment horizontal="left"/>
    </xf>
    <xf numFmtId="192" fontId="23" fillId="0" borderId="0" xfId="48" applyNumberFormat="1" applyFont="1" applyFill="1" applyBorder="1" applyAlignment="1">
      <alignment horizontal="right"/>
    </xf>
    <xf numFmtId="189" fontId="20" fillId="0" borderId="4" xfId="9" applyNumberFormat="1" applyFont="1" applyBorder="1"/>
    <xf numFmtId="189" fontId="20" fillId="0" borderId="13" xfId="9" applyNumberFormat="1" applyFont="1" applyBorder="1"/>
    <xf numFmtId="192" fontId="21" fillId="0" borderId="0" xfId="48" applyNumberFormat="1" applyFont="1" applyFill="1" applyBorder="1" applyAlignment="1">
      <alignment horizontal="right"/>
    </xf>
    <xf numFmtId="0" fontId="20" fillId="0" borderId="7" xfId="9" applyNumberFormat="1" applyFont="1" applyFill="1" applyBorder="1"/>
    <xf numFmtId="0" fontId="21" fillId="0" borderId="1" xfId="14" applyNumberFormat="1" applyFont="1" applyFill="1" applyBorder="1"/>
    <xf numFmtId="0" fontId="21" fillId="0" borderId="7" xfId="0" applyNumberFormat="1" applyFont="1" applyBorder="1" applyAlignment="1">
      <alignment horizontal="left"/>
    </xf>
    <xf numFmtId="192" fontId="21" fillId="0" borderId="0" xfId="9" applyNumberFormat="1" applyFont="1"/>
    <xf numFmtId="189" fontId="20" fillId="2" borderId="5" xfId="9" applyNumberFormat="1" applyFont="1" applyFill="1" applyBorder="1"/>
    <xf numFmtId="189" fontId="20" fillId="0" borderId="4" xfId="9" applyNumberFormat="1" applyFont="1" applyFill="1" applyBorder="1"/>
    <xf numFmtId="189" fontId="44" fillId="0" borderId="0" xfId="9" applyNumberFormat="1" applyFont="1" applyBorder="1"/>
    <xf numFmtId="192" fontId="23" fillId="0" borderId="0" xfId="48" applyNumberFormat="1" applyFont="1" applyFill="1" applyBorder="1" applyAlignment="1">
      <alignment horizontal="right" vertical="center"/>
    </xf>
    <xf numFmtId="189" fontId="21" fillId="0" borderId="0" xfId="48" applyNumberFormat="1" applyFont="1" applyBorder="1"/>
    <xf numFmtId="189" fontId="21" fillId="0" borderId="0" xfId="9" quotePrefix="1" applyNumberFormat="1" applyFont="1" applyBorder="1" applyAlignment="1">
      <alignment horizontal="right"/>
    </xf>
    <xf numFmtId="189" fontId="22" fillId="0" borderId="7" xfId="9" applyNumberFormat="1" applyFont="1" applyFill="1" applyBorder="1" applyAlignment="1">
      <alignment horizontal="left"/>
    </xf>
    <xf numFmtId="189" fontId="29" fillId="0" borderId="0" xfId="9" applyNumberFormat="1" applyFont="1"/>
    <xf numFmtId="0" fontId="24" fillId="0" borderId="7" xfId="43" applyFont="1" applyBorder="1"/>
    <xf numFmtId="189" fontId="29" fillId="0" borderId="14" xfId="9" applyNumberFormat="1" applyFont="1" applyFill="1" applyBorder="1"/>
    <xf numFmtId="189" fontId="20" fillId="0" borderId="0" xfId="9" applyNumberFormat="1" applyFont="1" applyFill="1" applyBorder="1" applyAlignment="1">
      <alignment horizontal="right" vertical="center" wrapText="1"/>
    </xf>
    <xf numFmtId="189" fontId="35" fillId="0" borderId="14" xfId="9" applyNumberFormat="1" applyFont="1" applyFill="1" applyBorder="1" applyAlignment="1">
      <alignment horizontal="right" vertical="center" wrapText="1"/>
    </xf>
    <xf numFmtId="189" fontId="21" fillId="0" borderId="0" xfId="9" applyNumberFormat="1" applyFont="1" applyFill="1" applyBorder="1" applyAlignment="1">
      <alignment horizontal="right" vertical="center" wrapText="1"/>
    </xf>
    <xf numFmtId="189" fontId="20" fillId="2" borderId="7" xfId="9" applyNumberFormat="1" applyFont="1" applyFill="1" applyBorder="1" applyAlignment="1">
      <alignment horizontal="right" vertical="center" wrapText="1"/>
    </xf>
    <xf numFmtId="189" fontId="20" fillId="0" borderId="1" xfId="9" applyNumberFormat="1" applyFont="1" applyFill="1" applyBorder="1" applyAlignment="1">
      <alignment horizontal="right" vertical="center" wrapText="1"/>
    </xf>
    <xf numFmtId="189" fontId="20" fillId="2" borderId="1" xfId="9" applyNumberFormat="1" applyFont="1" applyFill="1" applyBorder="1" applyAlignment="1">
      <alignment horizontal="right" vertical="center" wrapText="1"/>
    </xf>
    <xf numFmtId="189" fontId="20" fillId="0" borderId="14" xfId="9" applyNumberFormat="1" applyFont="1" applyFill="1" applyBorder="1" applyAlignment="1">
      <alignment horizontal="right" vertical="center" wrapText="1"/>
    </xf>
    <xf numFmtId="189" fontId="21" fillId="2" borderId="1" xfId="9" applyNumberFormat="1" applyFont="1" applyFill="1" applyBorder="1" applyAlignment="1">
      <alignment horizontal="right" vertical="center" wrapText="1"/>
    </xf>
    <xf numFmtId="9" fontId="20" fillId="0" borderId="0" xfId="48" applyFont="1" applyFill="1" applyBorder="1" applyAlignment="1">
      <alignment horizontal="right" vertical="center" wrapText="1"/>
    </xf>
    <xf numFmtId="189" fontId="20" fillId="0" borderId="14" xfId="9" applyNumberFormat="1" applyFont="1" applyFill="1" applyBorder="1"/>
    <xf numFmtId="189" fontId="20" fillId="2" borderId="1" xfId="9" applyNumberFormat="1" applyFont="1" applyFill="1" applyBorder="1"/>
    <xf numFmtId="189" fontId="20" fillId="2" borderId="7" xfId="9" applyNumberFormat="1" applyFont="1" applyFill="1" applyBorder="1" applyAlignment="1">
      <alignment horizontal="right"/>
    </xf>
    <xf numFmtId="189" fontId="21" fillId="2" borderId="1" xfId="9" applyNumberFormat="1" applyFont="1" applyFill="1" applyBorder="1"/>
    <xf numFmtId="189" fontId="21" fillId="2" borderId="7" xfId="9" applyNumberFormat="1" applyFont="1" applyFill="1" applyBorder="1" applyAlignment="1">
      <alignment horizontal="right"/>
    </xf>
    <xf numFmtId="189" fontId="21" fillId="0" borderId="6" xfId="9" applyNumberFormat="1" applyFont="1" applyFill="1" applyBorder="1" applyAlignment="1">
      <alignment horizontal="right" vertical="center" wrapText="1"/>
    </xf>
    <xf numFmtId="189" fontId="21" fillId="0" borderId="10" xfId="9" applyNumberFormat="1" applyFont="1" applyFill="1" applyBorder="1" applyAlignment="1">
      <alignment horizontal="right" vertical="center" wrapText="1"/>
    </xf>
    <xf numFmtId="189" fontId="21" fillId="2" borderId="10" xfId="9" applyNumberFormat="1" applyFont="1" applyFill="1" applyBorder="1" applyAlignment="1">
      <alignment horizontal="right" vertical="center" wrapText="1"/>
    </xf>
    <xf numFmtId="189" fontId="21" fillId="2" borderId="9" xfId="9" applyNumberFormat="1" applyFont="1" applyFill="1" applyBorder="1" applyAlignment="1">
      <alignment horizontal="right" vertical="center" wrapText="1"/>
    </xf>
    <xf numFmtId="189" fontId="45" fillId="0" borderId="0" xfId="9" applyNumberFormat="1" applyFont="1" applyFill="1" applyBorder="1" applyAlignment="1">
      <alignment vertical="center" wrapText="1"/>
    </xf>
    <xf numFmtId="189" fontId="45" fillId="0" borderId="1" xfId="9" applyNumberFormat="1" applyFont="1" applyFill="1" applyBorder="1" applyAlignment="1">
      <alignment vertical="center" wrapText="1"/>
    </xf>
    <xf numFmtId="189" fontId="45" fillId="2" borderId="1" xfId="9" applyNumberFormat="1" applyFont="1" applyFill="1" applyBorder="1" applyAlignment="1">
      <alignment vertical="center" wrapText="1"/>
    </xf>
    <xf numFmtId="189" fontId="45" fillId="0" borderId="0" xfId="9" applyNumberFormat="1" applyFont="1" applyBorder="1" applyAlignment="1">
      <alignment vertical="center" wrapText="1"/>
    </xf>
    <xf numFmtId="189" fontId="45" fillId="0" borderId="1" xfId="9" applyNumberFormat="1" applyFont="1" applyBorder="1" applyAlignment="1">
      <alignment vertical="center" wrapText="1"/>
    </xf>
    <xf numFmtId="189" fontId="45" fillId="2" borderId="7" xfId="9" applyNumberFormat="1" applyFont="1" applyFill="1" applyBorder="1" applyAlignment="1">
      <alignment horizontal="right" vertical="center" wrapText="1"/>
    </xf>
    <xf numFmtId="189" fontId="29" fillId="0" borderId="0" xfId="9" applyNumberFormat="1" applyFont="1" applyFill="1" applyBorder="1" applyAlignment="1">
      <alignment horizontal="right" vertical="center" wrapText="1"/>
    </xf>
    <xf numFmtId="189" fontId="45" fillId="0" borderId="0" xfId="9" applyNumberFormat="1" applyFont="1" applyFill="1" applyBorder="1" applyAlignment="1">
      <alignment vertical="center"/>
    </xf>
    <xf numFmtId="189" fontId="45" fillId="0" borderId="1" xfId="9" applyNumberFormat="1" applyFont="1" applyFill="1" applyBorder="1" applyAlignment="1">
      <alignment vertical="center"/>
    </xf>
    <xf numFmtId="189" fontId="29" fillId="0" borderId="0" xfId="9" applyNumberFormat="1" applyFont="1" applyFill="1" applyBorder="1" applyAlignment="1">
      <alignment vertical="center"/>
    </xf>
    <xf numFmtId="189" fontId="29" fillId="0" borderId="1" xfId="9" applyNumberFormat="1" applyFont="1" applyFill="1" applyBorder="1" applyAlignment="1">
      <alignment vertical="center"/>
    </xf>
    <xf numFmtId="189" fontId="29" fillId="2" borderId="1" xfId="9" applyNumberFormat="1" applyFont="1" applyFill="1" applyBorder="1" applyAlignment="1">
      <alignment vertical="center" wrapText="1"/>
    </xf>
    <xf numFmtId="189" fontId="29" fillId="0" borderId="0" xfId="9" applyNumberFormat="1" applyFont="1" applyBorder="1" applyAlignment="1">
      <alignment vertical="center" wrapText="1"/>
    </xf>
    <xf numFmtId="189" fontId="29" fillId="0" borderId="0" xfId="9" applyNumberFormat="1" applyFont="1" applyBorder="1" applyAlignment="1">
      <alignment vertical="center"/>
    </xf>
    <xf numFmtId="189" fontId="29" fillId="0" borderId="1" xfId="9" applyNumberFormat="1" applyFont="1" applyBorder="1" applyAlignment="1">
      <alignment vertical="center"/>
    </xf>
    <xf numFmtId="189" fontId="29" fillId="2" borderId="7" xfId="9" applyNumberFormat="1" applyFont="1" applyFill="1" applyBorder="1" applyAlignment="1">
      <alignment horizontal="right" vertical="center" wrapText="1"/>
    </xf>
    <xf numFmtId="189" fontId="45" fillId="2" borderId="1" xfId="9" applyNumberFormat="1" applyFont="1" applyFill="1" applyBorder="1" applyAlignment="1">
      <alignment vertical="center"/>
    </xf>
    <xf numFmtId="189" fontId="29" fillId="0" borderId="1" xfId="9" applyNumberFormat="1" applyFont="1" applyFill="1" applyBorder="1" applyAlignment="1">
      <alignment horizontal="right" vertical="center" wrapText="1"/>
    </xf>
    <xf numFmtId="189" fontId="29" fillId="0" borderId="14" xfId="9" applyNumberFormat="1" applyFont="1" applyFill="1" applyBorder="1" applyAlignment="1">
      <alignment horizontal="right" vertical="center" wrapText="1"/>
    </xf>
    <xf numFmtId="192" fontId="21" fillId="0" borderId="0" xfId="9" applyNumberFormat="1" applyFont="1" applyFill="1" applyBorder="1"/>
    <xf numFmtId="189" fontId="21" fillId="0" borderId="14" xfId="9" applyNumberFormat="1" applyFont="1" applyFill="1" applyBorder="1" applyAlignment="1">
      <alignment horizontal="right"/>
    </xf>
    <xf numFmtId="189" fontId="20" fillId="6" borderId="0" xfId="9" applyNumberFormat="1" applyFont="1" applyFill="1" applyBorder="1"/>
    <xf numFmtId="189" fontId="21" fillId="6" borderId="0" xfId="9" applyNumberFormat="1" applyFont="1" applyFill="1" applyBorder="1"/>
    <xf numFmtId="192" fontId="21" fillId="6" borderId="0" xfId="9" applyNumberFormat="1" applyFont="1" applyFill="1" applyBorder="1"/>
    <xf numFmtId="188" fontId="21" fillId="6" borderId="0" xfId="0" applyFont="1" applyFill="1"/>
    <xf numFmtId="192" fontId="21" fillId="6" borderId="0" xfId="48" applyNumberFormat="1" applyFont="1" applyFill="1" applyBorder="1"/>
    <xf numFmtId="192" fontId="20" fillId="6" borderId="0" xfId="48" applyNumberFormat="1" applyFont="1" applyFill="1" applyBorder="1"/>
    <xf numFmtId="188" fontId="20" fillId="6" borderId="14" xfId="0" applyFont="1" applyFill="1" applyBorder="1" applyAlignment="1">
      <alignment vertical="center"/>
    </xf>
    <xf numFmtId="188" fontId="20" fillId="6" borderId="0" xfId="0" applyFont="1" applyFill="1" applyAlignment="1">
      <alignment horizontal="center" vertical="center"/>
    </xf>
    <xf numFmtId="188" fontId="20" fillId="6" borderId="0" xfId="0" applyFont="1" applyFill="1"/>
    <xf numFmtId="189" fontId="21" fillId="6" borderId="0" xfId="9" applyNumberFormat="1" applyFont="1" applyFill="1" applyBorder="1" applyAlignment="1">
      <alignment horizontal="center" vertical="center"/>
    </xf>
    <xf numFmtId="192" fontId="21" fillId="6" borderId="0" xfId="48" applyNumberFormat="1" applyFont="1" applyFill="1" applyBorder="1" applyAlignment="1">
      <alignment horizontal="right" vertical="center"/>
    </xf>
    <xf numFmtId="192" fontId="21" fillId="6" borderId="0" xfId="48" applyNumberFormat="1" applyFont="1" applyFill="1" applyBorder="1" applyAlignment="1">
      <alignment horizontal="left" vertical="center"/>
    </xf>
    <xf numFmtId="192" fontId="22" fillId="6" borderId="0" xfId="48" applyNumberFormat="1" applyFont="1" applyFill="1" applyBorder="1"/>
    <xf numFmtId="9" fontId="21" fillId="6" borderId="0" xfId="48" applyFont="1" applyFill="1" applyBorder="1"/>
    <xf numFmtId="189" fontId="24" fillId="6" borderId="0" xfId="9" applyNumberFormat="1" applyFont="1" applyFill="1" applyBorder="1"/>
    <xf numFmtId="189" fontId="23" fillId="6" borderId="0" xfId="9" applyNumberFormat="1" applyFont="1" applyFill="1" applyBorder="1"/>
    <xf numFmtId="191" fontId="21" fillId="6" borderId="0" xfId="14" applyNumberFormat="1" applyFont="1" applyFill="1" applyBorder="1"/>
    <xf numFmtId="192" fontId="21" fillId="6" borderId="0" xfId="48" applyNumberFormat="1" applyFont="1" applyFill="1"/>
    <xf numFmtId="195" fontId="21" fillId="6" borderId="0" xfId="14" applyNumberFormat="1" applyFont="1" applyFill="1" applyBorder="1"/>
    <xf numFmtId="0" fontId="21" fillId="6" borderId="0" xfId="14" applyNumberFormat="1" applyFont="1" applyFill="1" applyBorder="1"/>
    <xf numFmtId="43" fontId="21" fillId="6" borderId="0" xfId="9" applyFont="1" applyFill="1" applyBorder="1"/>
    <xf numFmtId="0" fontId="21" fillId="6" borderId="0" xfId="48" applyNumberFormat="1" applyFont="1" applyFill="1" applyBorder="1"/>
    <xf numFmtId="192" fontId="46" fillId="6" borderId="0" xfId="48" applyNumberFormat="1" applyFont="1" applyFill="1" applyBorder="1"/>
    <xf numFmtId="188" fontId="21" fillId="6" borderId="7" xfId="0" applyFont="1" applyFill="1" applyBorder="1"/>
    <xf numFmtId="189" fontId="21" fillId="6" borderId="1" xfId="9" applyNumberFormat="1" applyFont="1" applyFill="1" applyBorder="1"/>
    <xf numFmtId="189" fontId="21" fillId="6" borderId="0" xfId="9" applyNumberFormat="1" applyFont="1" applyFill="1"/>
    <xf numFmtId="9" fontId="21" fillId="0" borderId="0" xfId="0" applyNumberFormat="1" applyFont="1"/>
    <xf numFmtId="189" fontId="42" fillId="0" borderId="0" xfId="9" applyNumberFormat="1" applyFont="1" applyBorder="1"/>
    <xf numFmtId="188" fontId="21" fillId="0" borderId="18" xfId="0" applyFont="1" applyBorder="1"/>
    <xf numFmtId="189" fontId="35" fillId="0" borderId="0" xfId="9" applyNumberFormat="1" applyFont="1" applyFill="1" applyBorder="1" applyAlignment="1">
      <alignment horizontal="right" vertical="center" wrapText="1"/>
    </xf>
    <xf numFmtId="189" fontId="21" fillId="0" borderId="0" xfId="9" applyNumberFormat="1" applyFont="1" applyFill="1" applyBorder="1" applyAlignment="1">
      <alignment horizontal="right"/>
    </xf>
    <xf numFmtId="37" fontId="20" fillId="0" borderId="4" xfId="0" applyNumberFormat="1" applyFont="1" applyBorder="1"/>
    <xf numFmtId="37" fontId="20" fillId="2" borderId="5" xfId="0" applyNumberFormat="1" applyFont="1" applyFill="1" applyBorder="1"/>
    <xf numFmtId="189" fontId="21" fillId="2" borderId="7" xfId="9" applyNumberFormat="1" applyFont="1" applyFill="1" applyBorder="1" applyAlignment="1">
      <alignment horizontal="right" wrapText="1"/>
    </xf>
    <xf numFmtId="188" fontId="23" fillId="0" borderId="0" xfId="0" applyFont="1" applyAlignment="1">
      <alignment horizontal="right"/>
    </xf>
    <xf numFmtId="189" fontId="20" fillId="0" borderId="13" xfId="9" applyNumberFormat="1" applyFont="1" applyFill="1" applyBorder="1"/>
    <xf numFmtId="43" fontId="21" fillId="0" borderId="14" xfId="9" applyFont="1" applyFill="1" applyBorder="1" applyAlignment="1">
      <alignment horizontal="right"/>
    </xf>
    <xf numFmtId="196" fontId="43" fillId="0" borderId="0" xfId="0" applyNumberFormat="1" applyFont="1"/>
    <xf numFmtId="196" fontId="21" fillId="0" borderId="0" xfId="0" applyNumberFormat="1" applyFont="1"/>
    <xf numFmtId="196" fontId="23" fillId="0" borderId="0" xfId="0" applyNumberFormat="1" applyFont="1" applyAlignment="1">
      <alignment horizontal="right"/>
    </xf>
    <xf numFmtId="196" fontId="38" fillId="5" borderId="17" xfId="0" applyNumberFormat="1" applyFont="1" applyFill="1" applyBorder="1" applyAlignment="1">
      <alignment vertical="center"/>
    </xf>
    <xf numFmtId="196" fontId="38" fillId="5" borderId="4" xfId="9" applyNumberFormat="1" applyFont="1" applyFill="1" applyBorder="1" applyAlignment="1">
      <alignment horizontal="center" vertical="center" wrapText="1"/>
    </xf>
    <xf numFmtId="196" fontId="38" fillId="5" borderId="13" xfId="9" applyNumberFormat="1" applyFont="1" applyFill="1" applyBorder="1" applyAlignment="1">
      <alignment horizontal="center" vertical="center" wrapText="1"/>
    </xf>
    <xf numFmtId="196" fontId="20" fillId="0" borderId="14" xfId="0" applyNumberFormat="1" applyFont="1" applyBorder="1"/>
    <xf numFmtId="196" fontId="21" fillId="0" borderId="1" xfId="0" applyNumberFormat="1" applyFont="1" applyBorder="1"/>
    <xf numFmtId="196" fontId="21" fillId="0" borderId="14" xfId="9" applyNumberFormat="1" applyFont="1" applyFill="1" applyBorder="1" applyAlignment="1">
      <alignment horizontal="left"/>
    </xf>
    <xf numFmtId="196" fontId="20" fillId="0" borderId="14" xfId="9" applyNumberFormat="1" applyFont="1" applyFill="1" applyBorder="1" applyAlignment="1">
      <alignment horizontal="left"/>
    </xf>
    <xf numFmtId="196" fontId="21" fillId="0" borderId="14" xfId="0" applyNumberFormat="1" applyFont="1" applyBorder="1"/>
    <xf numFmtId="196" fontId="21" fillId="0" borderId="14" xfId="0" applyNumberFormat="1" applyFont="1" applyBorder="1" applyAlignment="1">
      <alignment horizontal="left"/>
    </xf>
    <xf numFmtId="196" fontId="20" fillId="0" borderId="15" xfId="0" applyNumberFormat="1" applyFont="1" applyBorder="1"/>
    <xf numFmtId="196" fontId="28" fillId="0" borderId="0" xfId="31" applyNumberFormat="1" applyFont="1" applyFill="1" applyAlignment="1" applyProtection="1">
      <alignment horizontal="center"/>
    </xf>
    <xf numFmtId="0" fontId="21" fillId="0" borderId="0" xfId="48" applyNumberFormat="1" applyFont="1"/>
    <xf numFmtId="0" fontId="21" fillId="0" borderId="0" xfId="48" applyNumberFormat="1" applyFont="1" applyFill="1"/>
    <xf numFmtId="192" fontId="21" fillId="0" borderId="0" xfId="48" applyNumberFormat="1" applyFont="1" applyFill="1" applyBorder="1" applyAlignment="1">
      <alignment horizontal="left" vertical="center"/>
    </xf>
    <xf numFmtId="189" fontId="21" fillId="6" borderId="14" xfId="9" applyNumberFormat="1" applyFont="1" applyFill="1" applyBorder="1" applyAlignment="1">
      <alignment horizontal="centerContinuous" vertical="center"/>
    </xf>
    <xf numFmtId="189" fontId="21" fillId="6" borderId="0" xfId="9" applyNumberFormat="1" applyFont="1" applyFill="1" applyBorder="1" applyAlignment="1">
      <alignment horizontal="centerContinuous"/>
    </xf>
    <xf numFmtId="189" fontId="21" fillId="6" borderId="14" xfId="9" applyNumberFormat="1" applyFont="1" applyFill="1" applyBorder="1" applyAlignment="1">
      <alignment horizontal="centerContinuous"/>
    </xf>
    <xf numFmtId="189" fontId="21" fillId="0" borderId="14" xfId="9" applyNumberFormat="1" applyFont="1" applyFill="1" applyBorder="1" applyAlignment="1">
      <alignment horizontal="centerContinuous"/>
    </xf>
    <xf numFmtId="189" fontId="21" fillId="0" borderId="14" xfId="9" applyNumberFormat="1" applyFont="1" applyFill="1" applyBorder="1" applyAlignment="1">
      <alignment horizontal="centerContinuous" vertical="center"/>
    </xf>
    <xf numFmtId="188" fontId="23" fillId="0" borderId="6" xfId="0" applyFont="1" applyBorder="1" applyAlignment="1">
      <alignment horizontal="right"/>
    </xf>
    <xf numFmtId="188" fontId="31" fillId="0" borderId="7" xfId="0" applyFont="1" applyBorder="1" applyAlignment="1">
      <alignment vertical="center" wrapText="1"/>
    </xf>
    <xf numFmtId="189" fontId="31" fillId="0" borderId="0" xfId="9" applyNumberFormat="1" applyFont="1" applyFill="1" applyBorder="1" applyAlignment="1">
      <alignment horizontal="right" wrapText="1"/>
    </xf>
    <xf numFmtId="0" fontId="50" fillId="0" borderId="0" xfId="31" applyNumberFormat="1" applyFont="1" applyFill="1" applyAlignment="1" applyProtection="1">
      <alignment horizontal="center"/>
    </xf>
    <xf numFmtId="189" fontId="53" fillId="0" borderId="0" xfId="9" applyNumberFormat="1" applyFont="1"/>
    <xf numFmtId="38" fontId="21" fillId="0" borderId="7" xfId="0" applyNumberFormat="1" applyFont="1" applyBorder="1" applyAlignment="1">
      <alignment wrapText="1"/>
    </xf>
    <xf numFmtId="188" fontId="54" fillId="0" borderId="0" xfId="31" applyNumberFormat="1" applyFont="1" applyAlignment="1" applyProtection="1"/>
    <xf numFmtId="188" fontId="54" fillId="0" borderId="0" xfId="31" applyNumberFormat="1" applyFont="1" applyFill="1" applyAlignment="1" applyProtection="1"/>
    <xf numFmtId="38" fontId="23" fillId="0" borderId="7" xfId="0" applyNumberFormat="1" applyFont="1" applyBorder="1"/>
    <xf numFmtId="188" fontId="20" fillId="6" borderId="0" xfId="0" applyFont="1" applyFill="1" applyAlignment="1">
      <alignment vertical="center"/>
    </xf>
    <xf numFmtId="189" fontId="21" fillId="6" borderId="0" xfId="9" applyNumberFormat="1" applyFont="1" applyFill="1" applyBorder="1" applyAlignment="1">
      <alignment horizontal="centerContinuous" vertical="center"/>
    </xf>
    <xf numFmtId="188" fontId="21" fillId="0" borderId="6" xfId="0" applyFont="1" applyBorder="1"/>
    <xf numFmtId="188" fontId="62" fillId="0" borderId="0" xfId="0" applyFont="1"/>
    <xf numFmtId="192" fontId="20" fillId="0" borderId="6" xfId="48" applyNumberFormat="1" applyFont="1" applyFill="1" applyBorder="1" applyAlignment="1">
      <alignment horizontal="left"/>
    </xf>
    <xf numFmtId="189" fontId="38" fillId="5" borderId="0" xfId="9" applyNumberFormat="1" applyFont="1" applyFill="1" applyBorder="1" applyAlignment="1">
      <alignment horizontal="center"/>
    </xf>
    <xf numFmtId="189" fontId="21" fillId="2" borderId="7" xfId="0" applyNumberFormat="1" applyFont="1" applyFill="1" applyBorder="1"/>
    <xf numFmtId="189" fontId="29" fillId="2" borderId="7" xfId="0" applyNumberFormat="1" applyFont="1" applyFill="1" applyBorder="1"/>
    <xf numFmtId="189" fontId="20" fillId="2" borderId="7" xfId="0" applyNumberFormat="1" applyFont="1" applyFill="1" applyBorder="1"/>
    <xf numFmtId="192" fontId="20" fillId="0" borderId="0" xfId="48" applyNumberFormat="1" applyFont="1" applyFill="1" applyBorder="1" applyAlignment="1">
      <alignment horizontal="left"/>
    </xf>
    <xf numFmtId="0" fontId="20" fillId="0" borderId="9" xfId="0" applyNumberFormat="1" applyFont="1" applyBorder="1" applyAlignment="1">
      <alignment horizontal="center"/>
    </xf>
    <xf numFmtId="188" fontId="21" fillId="0" borderId="15" xfId="0" applyFont="1" applyBorder="1"/>
    <xf numFmtId="192" fontId="21" fillId="0" borderId="14" xfId="48" applyNumberFormat="1" applyFont="1" applyFill="1" applyBorder="1"/>
    <xf numFmtId="192" fontId="21" fillId="0" borderId="0" xfId="48" applyNumberFormat="1" applyFont="1" applyFill="1" applyBorder="1" applyAlignment="1">
      <alignment horizontal="left"/>
    </xf>
    <xf numFmtId="2" fontId="21" fillId="0" borderId="0" xfId="9" applyNumberFormat="1" applyFont="1" applyFill="1" applyBorder="1"/>
    <xf numFmtId="2" fontId="21" fillId="0" borderId="0" xfId="0" applyNumberFormat="1" applyFont="1"/>
    <xf numFmtId="2" fontId="21" fillId="0" borderId="0" xfId="48" applyNumberFormat="1" applyFont="1" applyFill="1" applyBorder="1"/>
    <xf numFmtId="2" fontId="21" fillId="0" borderId="0" xfId="48" applyNumberFormat="1" applyFont="1" applyFill="1"/>
    <xf numFmtId="2" fontId="21" fillId="2" borderId="7" xfId="48" applyNumberFormat="1" applyFont="1" applyFill="1" applyBorder="1"/>
    <xf numFmtId="2" fontId="20" fillId="0" borderId="7" xfId="0" applyNumberFormat="1" applyFont="1" applyBorder="1" applyAlignment="1">
      <alignment horizontal="center"/>
    </xf>
    <xf numFmtId="2" fontId="21" fillId="0" borderId="7" xfId="48" applyNumberFormat="1" applyFont="1" applyFill="1" applyBorder="1" applyAlignment="1">
      <alignment horizontal="left"/>
    </xf>
    <xf numFmtId="193" fontId="21" fillId="2" borderId="7" xfId="0" applyNumberFormat="1" applyFont="1" applyFill="1" applyBorder="1"/>
    <xf numFmtId="43" fontId="21" fillId="2" borderId="7" xfId="0" applyNumberFormat="1" applyFont="1" applyFill="1" applyBorder="1"/>
    <xf numFmtId="193" fontId="21" fillId="2" borderId="9" xfId="0" applyNumberFormat="1" applyFont="1" applyFill="1" applyBorder="1"/>
    <xf numFmtId="2" fontId="20" fillId="0" borderId="0" xfId="9" applyNumberFormat="1" applyFont="1" applyFill="1" applyBorder="1"/>
    <xf numFmtId="2" fontId="20" fillId="0" borderId="0" xfId="0" applyNumberFormat="1" applyFont="1"/>
    <xf numFmtId="2" fontId="20" fillId="0" borderId="0" xfId="48" applyNumberFormat="1" applyFont="1" applyFill="1" applyBorder="1"/>
    <xf numFmtId="2" fontId="20" fillId="0" borderId="0" xfId="48" applyNumberFormat="1" applyFont="1" applyFill="1"/>
    <xf numFmtId="2" fontId="20" fillId="2" borderId="7" xfId="9" applyNumberFormat="1" applyFont="1" applyFill="1" applyBorder="1"/>
    <xf numFmtId="192" fontId="20" fillId="0" borderId="0" xfId="48" applyNumberFormat="1" applyFont="1" applyFill="1"/>
    <xf numFmtId="0" fontId="20" fillId="0" borderId="0" xfId="48" applyNumberFormat="1" applyFont="1" applyFill="1" applyBorder="1"/>
    <xf numFmtId="189" fontId="20" fillId="6" borderId="14" xfId="9" applyNumberFormat="1" applyFont="1" applyFill="1" applyBorder="1"/>
    <xf numFmtId="188" fontId="63" fillId="0" borderId="0" xfId="0" applyFont="1"/>
    <xf numFmtId="188" fontId="0" fillId="0" borderId="19" xfId="0" applyBorder="1"/>
    <xf numFmtId="188" fontId="62" fillId="0" borderId="20" xfId="0" applyFont="1" applyBorder="1"/>
    <xf numFmtId="188" fontId="64" fillId="0" borderId="19" xfId="31" quotePrefix="1" applyNumberFormat="1" applyFont="1" applyBorder="1" applyAlignment="1" applyProtection="1"/>
    <xf numFmtId="188" fontId="59" fillId="5" borderId="21" xfId="0" applyFont="1" applyFill="1" applyBorder="1" applyAlignment="1">
      <alignment horizontal="center"/>
    </xf>
    <xf numFmtId="188" fontId="59" fillId="5" borderId="22" xfId="0" applyFont="1" applyFill="1" applyBorder="1" applyAlignment="1">
      <alignment horizontal="center"/>
    </xf>
    <xf numFmtId="188" fontId="60" fillId="0" borderId="0" xfId="0" applyFont="1" applyAlignment="1">
      <alignment wrapText="1"/>
    </xf>
    <xf numFmtId="189" fontId="21" fillId="0" borderId="0" xfId="9" applyNumberFormat="1" applyFont="1" applyFill="1" applyBorder="1" applyAlignment="1">
      <alignment horizontal="center"/>
    </xf>
    <xf numFmtId="192" fontId="23" fillId="2" borderId="7" xfId="48" applyNumberFormat="1" applyFont="1" applyFill="1" applyBorder="1"/>
    <xf numFmtId="188" fontId="31" fillId="2" borderId="1" xfId="0" applyFont="1" applyFill="1" applyBorder="1" applyAlignment="1">
      <alignment vertical="center" wrapText="1"/>
    </xf>
    <xf numFmtId="189" fontId="31" fillId="2" borderId="1" xfId="9" applyNumberFormat="1" applyFont="1" applyFill="1" applyBorder="1" applyAlignment="1">
      <alignment vertical="center" wrapText="1"/>
    </xf>
    <xf numFmtId="189" fontId="31" fillId="2" borderId="1" xfId="9" applyNumberFormat="1" applyFont="1" applyFill="1" applyBorder="1" applyAlignment="1">
      <alignment vertical="center"/>
    </xf>
    <xf numFmtId="189" fontId="31" fillId="0" borderId="0" xfId="9" applyNumberFormat="1" applyFont="1" applyBorder="1" applyAlignment="1">
      <alignment vertical="center" wrapText="1"/>
    </xf>
    <xf numFmtId="189" fontId="31" fillId="2" borderId="7" xfId="9" applyNumberFormat="1" applyFont="1" applyFill="1" applyBorder="1" applyAlignment="1">
      <alignment horizontal="right" vertical="center" wrapText="1"/>
    </xf>
    <xf numFmtId="189" fontId="31" fillId="0" borderId="0" xfId="9" applyNumberFormat="1" applyFont="1" applyFill="1" applyBorder="1" applyAlignment="1">
      <alignment vertical="center" wrapText="1"/>
    </xf>
    <xf numFmtId="189" fontId="31" fillId="0" borderId="1" xfId="9" applyNumberFormat="1" applyFont="1" applyFill="1" applyBorder="1" applyAlignment="1">
      <alignment vertical="center" wrapText="1"/>
    </xf>
    <xf numFmtId="189" fontId="31" fillId="0" borderId="1" xfId="9" applyNumberFormat="1" applyFont="1" applyBorder="1" applyAlignment="1">
      <alignment vertical="center" wrapText="1"/>
    </xf>
    <xf numFmtId="189" fontId="31" fillId="0" borderId="0" xfId="9" applyNumberFormat="1" applyFont="1" applyBorder="1" applyAlignment="1">
      <alignment horizontal="right" vertical="center" wrapText="1"/>
    </xf>
    <xf numFmtId="189" fontId="31" fillId="0" borderId="14" xfId="9" applyNumberFormat="1" applyFont="1" applyFill="1" applyBorder="1" applyAlignment="1">
      <alignment horizontal="right" vertical="center" wrapText="1"/>
    </xf>
    <xf numFmtId="189" fontId="31" fillId="0" borderId="0" xfId="9" applyNumberFormat="1" applyFont="1" applyFill="1" applyBorder="1" applyAlignment="1">
      <alignment horizontal="right" vertical="center" wrapText="1"/>
    </xf>
    <xf numFmtId="188" fontId="31" fillId="0" borderId="7" xfId="0" applyFont="1" applyBorder="1" applyAlignment="1">
      <alignment vertical="center"/>
    </xf>
    <xf numFmtId="189" fontId="31" fillId="0" borderId="0" xfId="9" applyNumberFormat="1" applyFont="1" applyFill="1" applyBorder="1" applyAlignment="1">
      <alignment vertical="center"/>
    </xf>
    <xf numFmtId="189" fontId="31" fillId="0" borderId="1" xfId="9" applyNumberFormat="1" applyFont="1" applyFill="1" applyBorder="1" applyAlignment="1">
      <alignment vertical="center"/>
    </xf>
    <xf numFmtId="189" fontId="31" fillId="0" borderId="14" xfId="9" applyNumberFormat="1" applyFont="1" applyFill="1" applyBorder="1" applyAlignment="1">
      <alignment horizontal="right" wrapText="1"/>
    </xf>
    <xf numFmtId="189" fontId="31" fillId="2" borderId="7" xfId="9" applyNumberFormat="1" applyFont="1" applyFill="1" applyBorder="1" applyAlignment="1">
      <alignment vertical="center" wrapText="1"/>
    </xf>
    <xf numFmtId="189" fontId="31" fillId="2" borderId="7" xfId="9" applyNumberFormat="1" applyFont="1" applyFill="1" applyBorder="1" applyAlignment="1">
      <alignment horizontal="right" wrapText="1"/>
    </xf>
    <xf numFmtId="188" fontId="31" fillId="0" borderId="7" xfId="0" applyFont="1" applyBorder="1" applyAlignment="1">
      <alignment vertical="top" wrapText="1"/>
    </xf>
    <xf numFmtId="189" fontId="31" fillId="0" borderId="0" xfId="9" applyNumberFormat="1" applyFont="1" applyFill="1" applyBorder="1" applyAlignment="1">
      <alignment vertical="top" wrapText="1"/>
    </xf>
    <xf numFmtId="189" fontId="31" fillId="0" borderId="1" xfId="9" applyNumberFormat="1" applyFont="1" applyFill="1" applyBorder="1" applyAlignment="1">
      <alignment vertical="top" wrapText="1"/>
    </xf>
    <xf numFmtId="189" fontId="31" fillId="0" borderId="0" xfId="9" applyNumberFormat="1" applyFont="1" applyBorder="1" applyAlignment="1">
      <alignment vertical="top" wrapText="1"/>
    </xf>
    <xf numFmtId="189" fontId="31" fillId="0" borderId="1" xfId="9" applyNumberFormat="1" applyFont="1" applyBorder="1" applyAlignment="1">
      <alignment vertical="top" wrapText="1"/>
    </xf>
    <xf numFmtId="189" fontId="31" fillId="0" borderId="0" xfId="9" applyNumberFormat="1" applyFont="1" applyBorder="1" applyAlignment="1">
      <alignment vertical="center"/>
    </xf>
    <xf numFmtId="189" fontId="31" fillId="0" borderId="1" xfId="9" applyNumberFormat="1" applyFont="1" applyBorder="1" applyAlignment="1">
      <alignment vertical="center"/>
    </xf>
    <xf numFmtId="0" fontId="31" fillId="0" borderId="9" xfId="0" applyNumberFormat="1" applyFont="1" applyBorder="1" applyAlignment="1">
      <alignment vertical="center" wrapText="1"/>
    </xf>
    <xf numFmtId="189" fontId="31" fillId="0" borderId="6" xfId="9" applyNumberFormat="1" applyFont="1" applyFill="1" applyBorder="1" applyAlignment="1">
      <alignment vertical="center" wrapText="1"/>
    </xf>
    <xf numFmtId="189" fontId="31" fillId="0" borderId="10" xfId="9" applyNumberFormat="1" applyFont="1" applyFill="1" applyBorder="1" applyAlignment="1">
      <alignment vertical="center" wrapText="1"/>
    </xf>
    <xf numFmtId="189" fontId="31" fillId="2" borderId="10" xfId="9" applyNumberFormat="1" applyFont="1" applyFill="1" applyBorder="1" applyAlignment="1">
      <alignment vertical="center" wrapText="1"/>
    </xf>
    <xf numFmtId="189" fontId="31" fillId="2" borderId="9" xfId="9" applyNumberFormat="1" applyFont="1" applyFill="1" applyBorder="1" applyAlignment="1">
      <alignment horizontal="right" vertical="center" wrapText="1"/>
    </xf>
    <xf numFmtId="188" fontId="21" fillId="0" borderId="0" xfId="0" applyFont="1" applyAlignment="1">
      <alignment horizontal="left"/>
    </xf>
    <xf numFmtId="43" fontId="20" fillId="2" borderId="7" xfId="9" applyFont="1" applyFill="1" applyBorder="1"/>
  </cellXfs>
  <cellStyles count="7331">
    <cellStyle name="$" xfId="1" xr:uid="{597042EF-87AE-4F57-9FF8-F6455FFD593B}"/>
    <cellStyle name="$m" xfId="2" xr:uid="{46E89A60-DD04-45D0-AE8F-E4B503BCACD8}"/>
    <cellStyle name="$q" xfId="3" xr:uid="{04DC3E2C-6D44-4CE0-8E72-A6DC27E5C048}"/>
    <cellStyle name="$q*" xfId="4" xr:uid="{7836F410-EF0B-4F7A-A51C-FF26FA63A1FA}"/>
    <cellStyle name="$qA" xfId="5" xr:uid="{817905AA-0E98-4E4B-8B73-D5C9A9010795}"/>
    <cellStyle name="$qRange" xfId="6" xr:uid="{3DD806E7-DB2E-4434-B2D3-3251DE684B7F}"/>
    <cellStyle name="20% - Accent1" xfId="79" builtinId="30" customBuiltin="1"/>
    <cellStyle name="20% - Accent1 2" xfId="149" xr:uid="{BC0F329E-A85A-4353-91EC-A0E1C1FFC58D}"/>
    <cellStyle name="20% - Accent1 2 2" xfId="183" xr:uid="{2E0473F0-8128-4C05-AA10-DDFAB2A27775}"/>
    <cellStyle name="20% - Accent1 2 2 2" xfId="280" xr:uid="{09250BAD-199B-48B4-9DA8-D457FB988745}"/>
    <cellStyle name="20% - Accent1 2 2 2 2" xfId="489" xr:uid="{901B44D5-E437-49A9-8E45-E0EC4A3787EB}"/>
    <cellStyle name="20% - Accent1 2 2 2 2 2" xfId="1349" xr:uid="{31078DCE-D733-469A-BBCB-76DBAED499E4}"/>
    <cellStyle name="20% - Accent1 2 2 2 2 2 2" xfId="2487" xr:uid="{5937F0E3-7D30-4F09-9E71-6C2E0D9E02BE}"/>
    <cellStyle name="20% - Accent1 2 2 2 2 2 2 2" xfId="3791" xr:uid="{B061F026-DE81-423F-A9EC-F001414957E0}"/>
    <cellStyle name="20% - Accent1 2 2 2 2 2 2 2 2" xfId="7248" xr:uid="{E08FAFBF-5253-4809-9A57-91CD29E80631}"/>
    <cellStyle name="20% - Accent1 2 2 2 2 2 2 3" xfId="5509" xr:uid="{61B4CA31-EF91-45B6-8FB0-117B1A8A3D0F}"/>
    <cellStyle name="20% - Accent1 2 2 2 2 2 3" xfId="2944" xr:uid="{D3C6525E-1D67-4838-81C9-4DE95FB39DE9}"/>
    <cellStyle name="20% - Accent1 2 2 2 2 2 3 2" xfId="6379" xr:uid="{05204AAD-E222-4C8C-9596-1CADB5C82B65}"/>
    <cellStyle name="20% - Accent1 2 2 2 2 2 4" xfId="4639" xr:uid="{7819FF3C-BE87-4A92-AED0-1CAA4016FFCB}"/>
    <cellStyle name="20% - Accent1 2 2 2 2 3" xfId="1806" xr:uid="{983FEF31-7AE5-44C3-8976-6F2DC2F8B932}"/>
    <cellStyle name="20% - Accent1 2 2 2 2 3 2" xfId="3366" xr:uid="{D8291543-31F0-49E5-9ECD-678D1FBB9431}"/>
    <cellStyle name="20% - Accent1 2 2 2 2 3 2 2" xfId="6813" xr:uid="{F65D79E3-8CD8-40D7-B65A-BCA1CF7290D9}"/>
    <cellStyle name="20% - Accent1 2 2 2 2 3 3" xfId="5074" xr:uid="{03BEB087-4F8A-4963-9696-AB3CD27990EB}"/>
    <cellStyle name="20% - Accent1 2 2 2 2 4" xfId="936" xr:uid="{4FCBEFC1-70B0-411B-9304-BC947381D78F}"/>
    <cellStyle name="20% - Accent1 2 2 2 2 4 2" xfId="5944" xr:uid="{1B703214-9E63-41EA-9CD6-FF212C1991BF}"/>
    <cellStyle name="20% - Accent1 2 2 2 2 5" xfId="4208" xr:uid="{9DA529DD-6AAF-4C0A-AC1C-F0221FAB85AC}"/>
    <cellStyle name="20% - Accent1 2 2 2 3" xfId="1142" xr:uid="{406E405F-9340-41D6-9DF3-DCBD5E1F36AB}"/>
    <cellStyle name="20% - Accent1 2 2 2 3 2" xfId="2299" xr:uid="{85653F0A-5DF7-4065-A088-EC584B143BF8}"/>
    <cellStyle name="20% - Accent1 2 2 2 3 2 2" xfId="3586" xr:uid="{D6DBE22F-E64E-4C54-9278-F8F21007435C}"/>
    <cellStyle name="20% - Accent1 2 2 2 3 2 2 2" xfId="7041" xr:uid="{F49E5D43-BC09-4A68-ADBA-23C444017A4B}"/>
    <cellStyle name="20% - Accent1 2 2 2 3 2 3" xfId="5302" xr:uid="{8EEB7B59-1CE7-49D0-A87D-DB921CADF0DF}"/>
    <cellStyle name="20% - Accent1 2 2 2 3 3" xfId="2739" xr:uid="{E307C014-9624-48B0-B493-7011FA952E5A}"/>
    <cellStyle name="20% - Accent1 2 2 2 3 3 2" xfId="6172" xr:uid="{8F9B1BAA-7E35-4C48-8713-82E254C9D1A8}"/>
    <cellStyle name="20% - Accent1 2 2 2 3 4" xfId="4432" xr:uid="{AF4517DB-C39E-4566-8169-31890E8F730D}"/>
    <cellStyle name="20% - Accent1 2 2 2 4" xfId="1616" xr:uid="{B2F86738-AAD5-44DD-85A3-223D47593851}"/>
    <cellStyle name="20% - Accent1 2 2 2 4 2" xfId="3168" xr:uid="{CC44804E-598D-4826-8572-F06788E6C5C6}"/>
    <cellStyle name="20% - Accent1 2 2 2 4 2 2" xfId="6606" xr:uid="{C2B56AD1-9083-4887-B60C-1DEDCD293409}"/>
    <cellStyle name="20% - Accent1 2 2 2 4 3" xfId="4867" xr:uid="{4BFBB467-ACEA-4153-8217-4FBF0D1DF237}"/>
    <cellStyle name="20% - Accent1 2 2 2 5" xfId="729" xr:uid="{0CEADB3D-81E8-424A-AEDF-99441625AC21}"/>
    <cellStyle name="20% - Accent1 2 2 2 5 2" xfId="5737" xr:uid="{C8E8817F-F872-4E2D-8CAE-A6B902D30C05}"/>
    <cellStyle name="20% - Accent1 2 2 2 6" xfId="4012" xr:uid="{E1BCC05F-7015-4F7F-B7C4-DD3012826A49}"/>
    <cellStyle name="20% - Accent1 2 2 3" xfId="396" xr:uid="{F02E7BB7-3586-49BD-A2D0-ABFDBB9C514E}"/>
    <cellStyle name="20% - Accent1 2 2 3 2" xfId="1256" xr:uid="{B4309525-227F-486B-98BC-25ACF0DDC5BA}"/>
    <cellStyle name="20% - Accent1 2 2 3 2 2" xfId="2399" xr:uid="{743C99FB-129F-46D9-BC7F-4ABAE7A4CAF5}"/>
    <cellStyle name="20% - Accent1 2 2 3 2 2 2" xfId="3698" xr:uid="{3D4F03E7-5522-48F3-A1DF-B895C1A30320}"/>
    <cellStyle name="20% - Accent1 2 2 3 2 2 2 2" xfId="7155" xr:uid="{D2BC9E9F-F986-4404-86A3-2D25BF7E4725}"/>
    <cellStyle name="20% - Accent1 2 2 3 2 2 3" xfId="5416" xr:uid="{130770F0-A904-48DF-B0F7-E3C4C2954EFB}"/>
    <cellStyle name="20% - Accent1 2 2 3 2 3" xfId="2851" xr:uid="{36F94A1E-8824-47DF-8C59-5F096CFF775B}"/>
    <cellStyle name="20% - Accent1 2 2 3 2 3 2" xfId="6286" xr:uid="{6E0BA749-3AAE-442E-AADF-D9E47FEDEF78}"/>
    <cellStyle name="20% - Accent1 2 2 3 2 4" xfId="4546" xr:uid="{ADDBE717-2DD0-49CE-B37C-36ED35C94428}"/>
    <cellStyle name="20% - Accent1 2 2 3 3" xfId="1713" xr:uid="{98962D7F-91BB-47BD-852F-5DDBBA9EADB2}"/>
    <cellStyle name="20% - Accent1 2 2 3 3 2" xfId="3278" xr:uid="{511CF723-2792-4FB2-9C04-D5AE5F0C7D1A}"/>
    <cellStyle name="20% - Accent1 2 2 3 3 2 2" xfId="6720" xr:uid="{44AC1172-C2BE-471F-82CE-4098C5CA450B}"/>
    <cellStyle name="20% - Accent1 2 2 3 3 3" xfId="4981" xr:uid="{826355C3-6D3F-45BA-BBAA-50CF088B422E}"/>
    <cellStyle name="20% - Accent1 2 2 3 4" xfId="843" xr:uid="{A0AB53FA-544C-4F43-8515-D8127A12A6D1}"/>
    <cellStyle name="20% - Accent1 2 2 3 4 2" xfId="5851" xr:uid="{3C36997C-5939-4AB2-BBD3-94E1E1F41543}"/>
    <cellStyle name="20% - Accent1 2 2 3 5" xfId="4120" xr:uid="{5F98ABD0-E0A0-49E8-9466-285CE3336633}"/>
    <cellStyle name="20% - Accent1 2 2 4" xfId="1043" xr:uid="{EEC1B25A-CB85-45A9-BC21-25D3FD9A1F41}"/>
    <cellStyle name="20% - Accent1 2 2 4 2" xfId="2216" xr:uid="{575C3710-ECE7-470E-A383-725FEC4CE11B}"/>
    <cellStyle name="20% - Accent1 2 2 4 2 2" xfId="3489" xr:uid="{DD1277AD-E11C-477F-AB89-FBE5A67AA361}"/>
    <cellStyle name="20% - Accent1 2 2 4 2 2 2" xfId="6941" xr:uid="{CA15E9CC-47AC-46F2-9060-659A51C3A315}"/>
    <cellStyle name="20% - Accent1 2 2 4 2 3" xfId="5202" xr:uid="{685DEE5C-9D05-421D-A005-5E8801400B32}"/>
    <cellStyle name="20% - Accent1 2 2 4 3" xfId="2646" xr:uid="{622132C3-A049-4184-9D0D-CC7D797DA274}"/>
    <cellStyle name="20% - Accent1 2 2 4 3 2" xfId="6072" xr:uid="{346E3B31-AEBE-4FD4-8DD8-937A75076B4E}"/>
    <cellStyle name="20% - Accent1 2 2 4 4" xfId="4333" xr:uid="{B38D0FF8-BDC3-4A95-B811-DD044FD061BF}"/>
    <cellStyle name="20% - Accent1 2 2 5" xfId="1498" xr:uid="{D20D4F17-A400-477B-80F8-26AD473C2699}"/>
    <cellStyle name="20% - Accent1 2 2 5 2" xfId="3072" xr:uid="{028F019A-A9CE-4308-BD96-C45989DBA76A}"/>
    <cellStyle name="20% - Accent1 2 2 5 2 2" xfId="6507" xr:uid="{B34D5E31-1529-4B77-B4CA-ED7558C2555E}"/>
    <cellStyle name="20% - Accent1 2 2 5 3" xfId="4767" xr:uid="{3115926E-448C-44DE-9BD2-A5D52B104D03}"/>
    <cellStyle name="20% - Accent1 2 2 6" xfId="629" xr:uid="{F95B9ABC-3C93-4D77-B13D-999821FC56BB}"/>
    <cellStyle name="20% - Accent1 2 2 6 2" xfId="5637" xr:uid="{5D5F2B39-86E1-49AF-9187-50E7997D8787}"/>
    <cellStyle name="20% - Accent1 2 2 7" xfId="3921" xr:uid="{7418F50D-E29B-4082-91E8-10D20630967C}"/>
    <cellStyle name="20% - Accent1 2 3" xfId="250" xr:uid="{5786CB19-62F9-4C9C-81BA-D0BE0A9D7885}"/>
    <cellStyle name="20% - Accent1 2 3 2" xfId="459" xr:uid="{AC578D5F-3E29-47D4-B230-E833ED952738}"/>
    <cellStyle name="20% - Accent1 2 3 2 2" xfId="1319" xr:uid="{EEA7D81F-B94C-4F00-9043-C477760A5089}"/>
    <cellStyle name="20% - Accent1 2 3 2 2 2" xfId="2459" xr:uid="{C281D76C-985F-4AD3-ACBA-79568591C198}"/>
    <cellStyle name="20% - Accent1 2 3 2 2 2 2" xfId="3761" xr:uid="{9AB8B7AF-9136-4D2C-9104-E7FDF11B04E3}"/>
    <cellStyle name="20% - Accent1 2 3 2 2 2 2 2" xfId="7218" xr:uid="{0E139B53-ED5B-47B6-B3D2-ED13557323EB}"/>
    <cellStyle name="20% - Accent1 2 3 2 2 2 3" xfId="5479" xr:uid="{AFE1A8AC-BC88-4E73-898A-277B4907E256}"/>
    <cellStyle name="20% - Accent1 2 3 2 2 3" xfId="2914" xr:uid="{39D19A93-67A1-497C-A339-A68DB17B1BE6}"/>
    <cellStyle name="20% - Accent1 2 3 2 2 3 2" xfId="6349" xr:uid="{5A4EDD05-5358-48CA-8C1F-020C68751A77}"/>
    <cellStyle name="20% - Accent1 2 3 2 2 4" xfId="4609" xr:uid="{7B9C5DFE-1F68-40A8-8CDC-222A1F1192C1}"/>
    <cellStyle name="20% - Accent1 2 3 2 3" xfId="1776" xr:uid="{15DF32C1-8D78-4194-B6B4-1214CE63658F}"/>
    <cellStyle name="20% - Accent1 2 3 2 3 2" xfId="3338" xr:uid="{1EEB44E3-4DEF-469B-9691-0D358785727E}"/>
    <cellStyle name="20% - Accent1 2 3 2 3 2 2" xfId="6783" xr:uid="{B8DF1F03-2EFA-472C-AC2C-A7C992D6E2F4}"/>
    <cellStyle name="20% - Accent1 2 3 2 3 3" xfId="5044" xr:uid="{6942514A-DD73-41C9-8512-5EFD8C5BE197}"/>
    <cellStyle name="20% - Accent1 2 3 2 4" xfId="906" xr:uid="{7F197612-7D46-4EE9-BD6B-FC9CBAF382D6}"/>
    <cellStyle name="20% - Accent1 2 3 2 4 2" xfId="5914" xr:uid="{06723221-74F9-43BF-885A-0EC4BAB7F94C}"/>
    <cellStyle name="20% - Accent1 2 3 2 5" xfId="4180" xr:uid="{F4A87F20-1897-4EA9-BF0F-57B4FC06799F}"/>
    <cellStyle name="20% - Accent1 2 3 3" xfId="1112" xr:uid="{F24E26A4-2919-4194-9D78-97DCE6BC4F07}"/>
    <cellStyle name="20% - Accent1 2 3 3 2" xfId="2271" xr:uid="{2501D8F3-2CCC-4138-9475-5ED1C6791935}"/>
    <cellStyle name="20% - Accent1 2 3 3 2 2" xfId="3556" xr:uid="{B6B1703E-559C-4962-AC7C-ECCF1A50937B}"/>
    <cellStyle name="20% - Accent1 2 3 3 2 2 2" xfId="7011" xr:uid="{62575747-F68B-4E21-8F5B-CBE8802D90D1}"/>
    <cellStyle name="20% - Accent1 2 3 3 2 3" xfId="5272" xr:uid="{E7ADD1C5-F65D-426F-A45A-EC15FBD03AB0}"/>
    <cellStyle name="20% - Accent1 2 3 3 3" xfId="2709" xr:uid="{40C7B690-2963-46D2-AEB7-6AB083A14FC0}"/>
    <cellStyle name="20% - Accent1 2 3 3 3 2" xfId="6142" xr:uid="{4A2B090B-B52B-42D8-9EC1-C933437F8818}"/>
    <cellStyle name="20% - Accent1 2 3 3 4" xfId="4402" xr:uid="{E8AB72A3-A462-4557-82F1-C151738DADDB}"/>
    <cellStyle name="20% - Accent1 2 3 4" xfId="1586" xr:uid="{818DE61E-B904-4996-9D25-026B78717AFC}"/>
    <cellStyle name="20% - Accent1 2 3 4 2" xfId="3140" xr:uid="{0B58B72D-28E6-4E98-8655-1DD2776401BB}"/>
    <cellStyle name="20% - Accent1 2 3 4 2 2" xfId="6576" xr:uid="{E0925F66-568D-4533-9797-3E019BC92385}"/>
    <cellStyle name="20% - Accent1 2 3 4 3" xfId="4837" xr:uid="{4008322E-91F6-493C-974B-C2DE7151B934}"/>
    <cellStyle name="20% - Accent1 2 3 5" xfId="699" xr:uid="{D98938AE-D0EC-4B25-B86F-832E04FCD329}"/>
    <cellStyle name="20% - Accent1 2 3 5 2" xfId="5707" xr:uid="{FF486E0E-7657-4905-88DF-DB1C55739A69}"/>
    <cellStyle name="20% - Accent1 2 3 6" xfId="3984" xr:uid="{7E8D5F9F-2F62-47AF-A95A-45AB5D27D921}"/>
    <cellStyle name="20% - Accent1 2 4" xfId="364" xr:uid="{44DB17F9-E834-4C68-956D-BA22CD1A56EF}"/>
    <cellStyle name="20% - Accent1 2 4 2" xfId="1226" xr:uid="{EF0F32C8-19A7-40F5-8EE2-1FE67C4F35E6}"/>
    <cellStyle name="20% - Accent1 2 4 2 2" xfId="2371" xr:uid="{436A8CAC-E0FB-444C-8390-798213DAF6A3}"/>
    <cellStyle name="20% - Accent1 2 4 2 2 2" xfId="3668" xr:uid="{7D0E2E9D-2A0A-4CF4-936B-F84CCD4B58E1}"/>
    <cellStyle name="20% - Accent1 2 4 2 2 2 2" xfId="7125" xr:uid="{CD9B0C5E-A04D-47A9-AB9D-442FA3638432}"/>
    <cellStyle name="20% - Accent1 2 4 2 2 3" xfId="5386" xr:uid="{ED82C6D8-ACA7-453C-84D1-883B16BCAF3C}"/>
    <cellStyle name="20% - Accent1 2 4 2 3" xfId="2821" xr:uid="{A9B5509F-E69D-4E96-A0E6-E8402139BB11}"/>
    <cellStyle name="20% - Accent1 2 4 2 3 2" xfId="6256" xr:uid="{F8F70D37-704A-4A8B-B4B8-E1E189D93DBA}"/>
    <cellStyle name="20% - Accent1 2 4 2 4" xfId="4516" xr:uid="{FB464828-5274-4020-A647-3E24996024CD}"/>
    <cellStyle name="20% - Accent1 2 4 3" xfId="1682" xr:uid="{A882EDA9-015A-495F-9D56-2BB563A63721}"/>
    <cellStyle name="20% - Accent1 2 4 3 2" xfId="3250" xr:uid="{423F4B62-892B-436D-AC0F-6DEAEB95A655}"/>
    <cellStyle name="20% - Accent1 2 4 3 2 2" xfId="6690" xr:uid="{CB07582B-43EE-4156-AC73-2396F4CBF3C0}"/>
    <cellStyle name="20% - Accent1 2 4 3 3" xfId="4951" xr:uid="{66110876-29B3-43D3-BEBA-85B52395BBB8}"/>
    <cellStyle name="20% - Accent1 2 4 4" xfId="813" xr:uid="{B53C790D-A3F0-4AC9-BFB8-8311EBF3F88E}"/>
    <cellStyle name="20% - Accent1 2 4 4 2" xfId="5821" xr:uid="{439DF27C-FB1D-4955-BFE8-ABA327FE2B86}"/>
    <cellStyle name="20% - Accent1 2 4 5" xfId="4092" xr:uid="{31E3F064-798E-446E-892F-2D69082B9DF4}"/>
    <cellStyle name="20% - Accent1 2 5" xfId="1013" xr:uid="{8FAF6438-7046-45F7-9EFD-D434AB98EAE0}"/>
    <cellStyle name="20% - Accent1 2 5 2" xfId="2188" xr:uid="{61DCCDC2-7A6A-4A57-B607-52F405A0F8F3}"/>
    <cellStyle name="20% - Accent1 2 5 2 2" xfId="3461" xr:uid="{DBC08FFF-7852-4F74-9984-A6B10929C19B}"/>
    <cellStyle name="20% - Accent1 2 5 2 2 2" xfId="6911" xr:uid="{A8FA6105-C542-4C41-9156-B6C91092C72F}"/>
    <cellStyle name="20% - Accent1 2 5 2 3" xfId="5172" xr:uid="{BBF2B38E-167D-4F50-BD27-14C75773406A}"/>
    <cellStyle name="20% - Accent1 2 5 3" xfId="2618" xr:uid="{CC1AB49B-7D0C-47CD-A4EA-74143FA6781B}"/>
    <cellStyle name="20% - Accent1 2 5 3 2" xfId="6042" xr:uid="{23ED0548-49F8-493B-AD0D-B80E0927EE93}"/>
    <cellStyle name="20% - Accent1 2 5 4" xfId="4303" xr:uid="{D2EB2DAF-4AD0-4058-B113-8C6B59484401}"/>
    <cellStyle name="20% - Accent1 2 6" xfId="1467" xr:uid="{7943F07F-0F04-415E-A0DD-3CA80A7BAE0A}"/>
    <cellStyle name="20% - Accent1 2 6 2" xfId="3042" xr:uid="{26DFE3FA-2D04-4E47-9C0F-3847BF01E9EB}"/>
    <cellStyle name="20% - Accent1 2 6 2 2" xfId="6477" xr:uid="{097457B9-E80B-4EEA-98B3-4F457441A9AB}"/>
    <cellStyle name="20% - Accent1 2 6 3" xfId="4737" xr:uid="{38D30066-86FA-4F4E-9E86-82565997EC22}"/>
    <cellStyle name="20% - Accent1 2 7" xfId="599" xr:uid="{B8E050C0-F460-4181-ADDD-3F5EE9DA3134}"/>
    <cellStyle name="20% - Accent1 2 7 2" xfId="5607" xr:uid="{35549B3F-5E4B-4EC7-9386-CE09F25B4D17}"/>
    <cellStyle name="20% - Accent1 2 8" xfId="3893" xr:uid="{B4850C2D-DB4D-4CC3-90FF-7EC5EB4916C3}"/>
    <cellStyle name="20% - Accent1 3" xfId="168" xr:uid="{21AD7FAE-5D57-4A32-8692-5518B12C781F}"/>
    <cellStyle name="20% - Accent1 3 2" xfId="265" xr:uid="{A23F8BB4-0BAD-4419-A10C-0E860202875C}"/>
    <cellStyle name="20% - Accent1 3 2 2" xfId="474" xr:uid="{0A1EEB17-A9B7-4D68-8A4E-9EBC5DD26598}"/>
    <cellStyle name="20% - Accent1 3 2 2 2" xfId="1334" xr:uid="{56729131-116F-4EA9-8104-1337D9E4CDE5}"/>
    <cellStyle name="20% - Accent1 3 2 2 2 2" xfId="2473" xr:uid="{B0D2D6CB-30E2-4316-87E4-ADA4D278435C}"/>
    <cellStyle name="20% - Accent1 3 2 2 2 2 2" xfId="3776" xr:uid="{AF540D50-F097-4139-BC92-7A909B24B0A8}"/>
    <cellStyle name="20% - Accent1 3 2 2 2 2 2 2" xfId="7233" xr:uid="{B65B93FD-D1E7-48B5-AFF9-789D861C7154}"/>
    <cellStyle name="20% - Accent1 3 2 2 2 2 3" xfId="5494" xr:uid="{42B58817-9374-4A0F-A873-CB26FAC14165}"/>
    <cellStyle name="20% - Accent1 3 2 2 2 3" xfId="2929" xr:uid="{B84B98B8-6076-4904-A3B0-B489D94DAEF8}"/>
    <cellStyle name="20% - Accent1 3 2 2 2 3 2" xfId="6364" xr:uid="{7A24E517-8E0E-4F44-B100-D5FA2780968F}"/>
    <cellStyle name="20% - Accent1 3 2 2 2 4" xfId="4624" xr:uid="{17E6846C-F9D6-462E-87B3-0E69E5F35DFF}"/>
    <cellStyle name="20% - Accent1 3 2 2 3" xfId="1791" xr:uid="{FB7720E6-ACAA-45DB-A8E9-C6C1051F9A9B}"/>
    <cellStyle name="20% - Accent1 3 2 2 3 2" xfId="3352" xr:uid="{ED3A5F42-E0A6-4850-8F19-288FCEAA9151}"/>
    <cellStyle name="20% - Accent1 3 2 2 3 2 2" xfId="6798" xr:uid="{4677D659-D886-49F9-8917-160B32FCF65F}"/>
    <cellStyle name="20% - Accent1 3 2 2 3 3" xfId="5059" xr:uid="{38F76838-4045-43F4-AB04-CE5AF9F210BC}"/>
    <cellStyle name="20% - Accent1 3 2 2 4" xfId="921" xr:uid="{0B81A5F3-D7ED-459B-9DBA-708F96671283}"/>
    <cellStyle name="20% - Accent1 3 2 2 4 2" xfId="5929" xr:uid="{0F92CD71-3E5C-4A3E-8CC6-6023A7C13F59}"/>
    <cellStyle name="20% - Accent1 3 2 2 5" xfId="4194" xr:uid="{57D882C8-F0AD-42E2-970F-818F6EF151F9}"/>
    <cellStyle name="20% - Accent1 3 2 3" xfId="1127" xr:uid="{F832ABDE-5FC5-41F2-9ABD-1BED713699DB}"/>
    <cellStyle name="20% - Accent1 3 2 3 2" xfId="2285" xr:uid="{A3CC528E-A35D-403D-BC4B-87D110D1EE97}"/>
    <cellStyle name="20% - Accent1 3 2 3 2 2" xfId="3571" xr:uid="{84794C2E-34F3-4915-BBC9-0D30823116E2}"/>
    <cellStyle name="20% - Accent1 3 2 3 2 2 2" xfId="7026" xr:uid="{49D82737-9BD0-4B02-BB09-E81F3B893CD0}"/>
    <cellStyle name="20% - Accent1 3 2 3 2 3" xfId="5287" xr:uid="{796ECEDF-4CFF-4C6C-80D2-00D054FA407B}"/>
    <cellStyle name="20% - Accent1 3 2 3 3" xfId="2724" xr:uid="{4E40E7A1-9EF3-4FA0-8AE5-9D911AC18437}"/>
    <cellStyle name="20% - Accent1 3 2 3 3 2" xfId="6157" xr:uid="{05C0C786-C062-4AEA-AF6F-C3CD90C4D044}"/>
    <cellStyle name="20% - Accent1 3 2 3 4" xfId="4417" xr:uid="{B5FCCBC5-B728-46DE-B825-100BA4DAD8AD}"/>
    <cellStyle name="20% - Accent1 3 2 4" xfId="1601" xr:uid="{4C6DD52D-AAC6-4304-9A19-54F9C5D952CE}"/>
    <cellStyle name="20% - Accent1 3 2 4 2" xfId="3154" xr:uid="{C303E483-69E8-4D37-8D43-A4B24ACDBF6C}"/>
    <cellStyle name="20% - Accent1 3 2 4 2 2" xfId="6591" xr:uid="{92D09D3A-808D-4C9B-A1BB-E52A80ED63BC}"/>
    <cellStyle name="20% - Accent1 3 2 4 3" xfId="4852" xr:uid="{FA96470F-C047-4A39-B2C5-15909EC28228}"/>
    <cellStyle name="20% - Accent1 3 2 5" xfId="714" xr:uid="{A122BCD2-6954-4CE0-9B56-2A6071EF4EA1}"/>
    <cellStyle name="20% - Accent1 3 2 5 2" xfId="5722" xr:uid="{4434A1AE-9B87-4CED-855F-7C96B42182F2}"/>
    <cellStyle name="20% - Accent1 3 2 6" xfId="3998" xr:uid="{07FC636A-E806-4115-B001-A45F15ABC9F4}"/>
    <cellStyle name="20% - Accent1 3 3" xfId="381" xr:uid="{DA8AF762-8947-4C46-B1D0-0C57A16B2C4A}"/>
    <cellStyle name="20% - Accent1 3 3 2" xfId="1241" xr:uid="{8EA05F3D-0073-45B5-A092-2ACDF512D08C}"/>
    <cellStyle name="20% - Accent1 3 3 2 2" xfId="2385" xr:uid="{0C38CFE8-4783-49D6-B5C4-C7752073CA45}"/>
    <cellStyle name="20% - Accent1 3 3 2 2 2" xfId="3683" xr:uid="{BD304C48-9939-4878-BCB5-DD4ECF4F593C}"/>
    <cellStyle name="20% - Accent1 3 3 2 2 2 2" xfId="7140" xr:uid="{6402DD70-6EC4-4197-BF1D-7025775F87C1}"/>
    <cellStyle name="20% - Accent1 3 3 2 2 3" xfId="5401" xr:uid="{84C2E8C9-F5FD-4D0C-9794-4F0A1FC1220C}"/>
    <cellStyle name="20% - Accent1 3 3 2 3" xfId="2836" xr:uid="{CFB64322-FF5D-420C-A120-0E5ACB292D23}"/>
    <cellStyle name="20% - Accent1 3 3 2 3 2" xfId="6271" xr:uid="{92F4B999-57ED-4EEF-88FC-DB842FC0F6A6}"/>
    <cellStyle name="20% - Accent1 3 3 2 4" xfId="4531" xr:uid="{C2762419-92A4-4734-B2BE-E4AE28D06287}"/>
    <cellStyle name="20% - Accent1 3 3 3" xfId="1698" xr:uid="{BB1913FD-F17A-45DB-B4AC-8B7F77BE6A1C}"/>
    <cellStyle name="20% - Accent1 3 3 3 2" xfId="3264" xr:uid="{48583DDB-E7DE-4734-856C-B1E9D5B0F30B}"/>
    <cellStyle name="20% - Accent1 3 3 3 2 2" xfId="6705" xr:uid="{9440F3BC-8894-4913-9687-C4BFA0FD3248}"/>
    <cellStyle name="20% - Accent1 3 3 3 3" xfId="4966" xr:uid="{57886B38-269F-4639-A9E9-E7C79A57C486}"/>
    <cellStyle name="20% - Accent1 3 3 4" xfId="828" xr:uid="{A4139D25-CD66-4D9E-B4E4-DC4B5C7CBE72}"/>
    <cellStyle name="20% - Accent1 3 3 4 2" xfId="5836" xr:uid="{BA81D249-36FC-4406-94B3-B062A39888EF}"/>
    <cellStyle name="20% - Accent1 3 3 5" xfId="4106" xr:uid="{9D84CC17-CAD0-44D0-AE7B-EE91097FCB7B}"/>
    <cellStyle name="20% - Accent1 3 4" xfId="1028" xr:uid="{1637B2BB-BA21-4127-87DF-5BD32E283608}"/>
    <cellStyle name="20% - Accent1 3 4 2" xfId="2202" xr:uid="{1D401D84-7828-40E8-B249-4B948BCED20F}"/>
    <cellStyle name="20% - Accent1 3 4 2 2" xfId="3475" xr:uid="{E5061AC3-6245-434F-AE17-A3F9653F5925}"/>
    <cellStyle name="20% - Accent1 3 4 2 2 2" xfId="6926" xr:uid="{65CDC053-40F2-4DE7-8DE7-76592C844C2D}"/>
    <cellStyle name="20% - Accent1 3 4 2 3" xfId="5187" xr:uid="{378B25D4-B3FA-4914-A065-0CFBBA234A8C}"/>
    <cellStyle name="20% - Accent1 3 4 3" xfId="2632" xr:uid="{DDF98F93-19C1-4263-9665-27D4281FF917}"/>
    <cellStyle name="20% - Accent1 3 4 3 2" xfId="6057" xr:uid="{B0310CEA-9D7F-4537-AA39-D9D717FEC68C}"/>
    <cellStyle name="20% - Accent1 3 4 4" xfId="4318" xr:uid="{08A1AF80-537C-4288-A0D4-78499DCE0FB4}"/>
    <cellStyle name="20% - Accent1 3 5" xfId="1483" xr:uid="{CFEF29B3-DAF3-4BC9-926D-2AA3319E7EE2}"/>
    <cellStyle name="20% - Accent1 3 5 2" xfId="3057" xr:uid="{61819CDA-CBF9-4D95-B1BE-FB858845F4A8}"/>
    <cellStyle name="20% - Accent1 3 5 2 2" xfId="6492" xr:uid="{4D0575D1-9975-4B36-A171-F847DBF76934}"/>
    <cellStyle name="20% - Accent1 3 5 3" xfId="4752" xr:uid="{C87A0818-2128-47E5-88F9-B06AD9A40BEB}"/>
    <cellStyle name="20% - Accent1 3 6" xfId="614" xr:uid="{581EEBC3-2F71-4B24-94FC-384C0A7E22EC}"/>
    <cellStyle name="20% - Accent1 3 6 2" xfId="5622" xr:uid="{66B08408-96B8-4116-872F-28815A9D0A74}"/>
    <cellStyle name="20% - Accent1 3 7" xfId="3907" xr:uid="{8B62D26A-BE54-46C7-87C8-2D904647B917}"/>
    <cellStyle name="20% - Accent1 4" xfId="235" xr:uid="{168B39C4-8CCD-4673-AF79-7750AD02855C}"/>
    <cellStyle name="20% - Accent1 4 2" xfId="444" xr:uid="{C05C15D8-B5DF-4F0A-8311-4CF8904D1B8C}"/>
    <cellStyle name="20% - Accent1 4 2 2" xfId="1304" xr:uid="{BCACD53C-F4E1-49AC-AE9A-A83EA328F604}"/>
    <cellStyle name="20% - Accent1 4 2 2 2" xfId="2445" xr:uid="{CAAA2E99-E8D8-45FA-89D9-FD6516FCE9E8}"/>
    <cellStyle name="20% - Accent1 4 2 2 2 2" xfId="3746" xr:uid="{B1FD748B-A911-4CFB-B48D-ACFDED34EDB5}"/>
    <cellStyle name="20% - Accent1 4 2 2 2 2 2" xfId="7203" xr:uid="{C715AAC8-AD2F-45C8-ADDB-AAB284DAAD0C}"/>
    <cellStyle name="20% - Accent1 4 2 2 2 3" xfId="5464" xr:uid="{4A6D17B5-60EB-43C4-82CE-40025C3E851F}"/>
    <cellStyle name="20% - Accent1 4 2 2 3" xfId="2899" xr:uid="{DD541B96-2135-4FC6-BCC7-288FBDCD6411}"/>
    <cellStyle name="20% - Accent1 4 2 2 3 2" xfId="6334" xr:uid="{669ACCB5-11AA-4BBC-877F-42AE31F56AAB}"/>
    <cellStyle name="20% - Accent1 4 2 2 4" xfId="4594" xr:uid="{E7A87EA8-1D04-4B96-A86B-7EE11A661090}"/>
    <cellStyle name="20% - Accent1 4 2 3" xfId="1761" xr:uid="{FFCE5D76-23F2-40E3-B431-92A0E2443E9A}"/>
    <cellStyle name="20% - Accent1 4 2 3 2" xfId="3324" xr:uid="{2ECE7DC0-F8F6-4231-89C9-FB22B5532008}"/>
    <cellStyle name="20% - Accent1 4 2 3 2 2" xfId="6768" xr:uid="{0EE3B5D2-E20B-4334-8D37-5D960233FBCD}"/>
    <cellStyle name="20% - Accent1 4 2 3 3" xfId="5029" xr:uid="{DA7CD53C-F9B6-4265-9D31-8B736B19008E}"/>
    <cellStyle name="20% - Accent1 4 2 4" xfId="891" xr:uid="{F6AE45FA-2602-459B-B3B4-F01EA47D0606}"/>
    <cellStyle name="20% - Accent1 4 2 4 2" xfId="5899" xr:uid="{47DDD825-ABF1-452F-A6BC-834E3259423D}"/>
    <cellStyle name="20% - Accent1 4 2 5" xfId="4166" xr:uid="{B5048B88-A13F-4434-B7E2-8F25A78772BA}"/>
    <cellStyle name="20% - Accent1 4 3" xfId="1097" xr:uid="{E5FB3969-07F6-4920-97C7-EEBDFE070668}"/>
    <cellStyle name="20% - Accent1 4 3 2" xfId="2257" xr:uid="{8E8B292E-5189-4FE8-ACF0-9BD3BE6A99C2}"/>
    <cellStyle name="20% - Accent1 4 3 2 2" xfId="3542" xr:uid="{B75FB2EF-DBF3-42DE-90A3-23C20BBC0951}"/>
    <cellStyle name="20% - Accent1 4 3 2 2 2" xfId="6996" xr:uid="{540FA31E-1B1B-4713-85C1-88D3E954916C}"/>
    <cellStyle name="20% - Accent1 4 3 2 3" xfId="5257" xr:uid="{4452240A-F6F0-4996-947B-302044AF4F76}"/>
    <cellStyle name="20% - Accent1 4 3 3" xfId="2695" xr:uid="{C979F97D-071F-44F1-880B-C8DD8F9D1392}"/>
    <cellStyle name="20% - Accent1 4 3 3 2" xfId="6127" xr:uid="{C3B2A748-4E77-4312-9214-FB6BDE6A265B}"/>
    <cellStyle name="20% - Accent1 4 3 4" xfId="4387" xr:uid="{DEDE2F07-85E3-48EF-AF05-2FC4C0AACD5B}"/>
    <cellStyle name="20% - Accent1 4 4" xfId="1571" xr:uid="{907DDD40-E63C-4D88-9274-0B09E0A2AB59}"/>
    <cellStyle name="20% - Accent1 4 4 2" xfId="3125" xr:uid="{FA7E1783-05D2-48F4-B2D3-A6042C2BF241}"/>
    <cellStyle name="20% - Accent1 4 4 2 2" xfId="6561" xr:uid="{AF447A17-011F-4DA9-9076-92A8D299E818}"/>
    <cellStyle name="20% - Accent1 4 4 3" xfId="4822" xr:uid="{9F19F843-FCF3-4C5D-849F-386195A188C9}"/>
    <cellStyle name="20% - Accent1 4 5" xfId="684" xr:uid="{34259526-420C-474A-B21A-C22BDCD6588A}"/>
    <cellStyle name="20% - Accent1 4 5 2" xfId="5692" xr:uid="{9FF0E0C2-E1A3-44CF-AB34-6C024BD8F740}"/>
    <cellStyle name="20% - Accent1 4 6" xfId="3970" xr:uid="{1A714659-FDBA-480C-940D-F6057B42058E}"/>
    <cellStyle name="20% - Accent1 5" xfId="346" xr:uid="{02E59317-20A2-4A49-819F-9F3C7FBE8F8C}"/>
    <cellStyle name="20% - Accent1 5 2" xfId="1211" xr:uid="{56DF5754-F0D8-4455-A6DF-744EC03B744E}"/>
    <cellStyle name="20% - Accent1 5 2 2" xfId="2357" xr:uid="{FF2ACA85-107A-4EEA-8083-BCB23251BED2}"/>
    <cellStyle name="20% - Accent1 5 2 2 2" xfId="3654" xr:uid="{9F90BAE0-98B8-4455-8D78-701B9D3D0A33}"/>
    <cellStyle name="20% - Accent1 5 2 2 2 2" xfId="7110" xr:uid="{302D502F-496D-4359-AD0F-2E0EED0AC8F5}"/>
    <cellStyle name="20% - Accent1 5 2 2 3" xfId="5371" xr:uid="{4F952E56-A31B-4963-927C-42EAA9C1387C}"/>
    <cellStyle name="20% - Accent1 5 2 3" xfId="2807" xr:uid="{D246E0E0-2A2B-427B-9BC9-AE03169D0B27}"/>
    <cellStyle name="20% - Accent1 5 2 3 2" xfId="6241" xr:uid="{CD0085D1-802E-43F0-A970-30911D15B411}"/>
    <cellStyle name="20% - Accent1 5 2 4" xfId="4501" xr:uid="{2CEC0263-C24E-4099-9478-39480A61AC4F}"/>
    <cellStyle name="20% - Accent1 5 3" xfId="1665" xr:uid="{07690F6F-D9A7-4F42-B80F-D173D826DAEE}"/>
    <cellStyle name="20% - Accent1 5 3 2" xfId="3235" xr:uid="{229C4BCC-2912-45B0-BDE4-85FD30F1B694}"/>
    <cellStyle name="20% - Accent1 5 3 2 2" xfId="6675" xr:uid="{B07CE76A-C653-4A47-8D67-A0D4CEEAB878}"/>
    <cellStyle name="20% - Accent1 5 3 3" xfId="4936" xr:uid="{21D2DED9-53D1-4796-9AEB-BAA279A7EE68}"/>
    <cellStyle name="20% - Accent1 5 4" xfId="798" xr:uid="{456E8E98-E5DD-48B3-9E4A-F3A761019867}"/>
    <cellStyle name="20% - Accent1 5 4 2" xfId="5806" xr:uid="{BD71CE75-7371-4262-AB30-36D4A6D0641C}"/>
    <cellStyle name="20% - Accent1 5 5" xfId="4078" xr:uid="{CA708DD0-35DA-4E4A-9709-EF5747C41267}"/>
    <cellStyle name="20% - Accent1 6" xfId="998" xr:uid="{7C5B7AA1-BAB3-40A9-8F39-9CE1A93327F2}"/>
    <cellStyle name="20% - Accent1 6 2" xfId="2174" xr:uid="{6AEBE82E-DF42-496D-8A2C-FF35301426F4}"/>
    <cellStyle name="20% - Accent1 6 2 2" xfId="3447" xr:uid="{5A5C945A-D318-4776-974A-BCFA8F5BF06E}"/>
    <cellStyle name="20% - Accent1 6 2 2 2" xfId="6896" xr:uid="{3BB8B983-F5B2-4F79-9535-43522ADD4A07}"/>
    <cellStyle name="20% - Accent1 6 2 3" xfId="5157" xr:uid="{80451009-D881-47A2-80F8-4FA63679DC65}"/>
    <cellStyle name="20% - Accent1 6 3" xfId="2604" xr:uid="{1EEF6D6C-C08D-41C9-9358-4666153F69DB}"/>
    <cellStyle name="20% - Accent1 6 3 2" xfId="6027" xr:uid="{78BFA4F4-97EC-416E-AE10-8FB6B8A5FA65}"/>
    <cellStyle name="20% - Accent1 6 4" xfId="4289" xr:uid="{6CFFB23A-2287-49A4-9755-7F388AB84764}"/>
    <cellStyle name="20% - Accent1 7" xfId="1447" xr:uid="{695AD0A9-FF8D-4E0C-94BD-8B9467F676E4}"/>
    <cellStyle name="20% - Accent1 7 2" xfId="3027" xr:uid="{4D060985-69DF-4B9F-8B57-F92289862EF2}"/>
    <cellStyle name="20% - Accent1 7 2 2" xfId="6462" xr:uid="{CED21953-D3C2-4717-9A97-8852D23E63D4}"/>
    <cellStyle name="20% - Accent1 7 3" xfId="4722" xr:uid="{0EBFCFFC-D25B-4943-90E7-739BAF9143DD}"/>
    <cellStyle name="20% - Accent1 8" xfId="584" xr:uid="{1D1998B7-2C1A-4BCB-9EE5-4894EBEE7876}"/>
    <cellStyle name="20% - Accent1 8 2" xfId="5592" xr:uid="{FBBB191D-0144-4F3E-8448-BD20C6E15BFE}"/>
    <cellStyle name="20% - Accent1 9" xfId="3879" xr:uid="{A58A308F-57CB-45D8-B7FF-77B797C9F196}"/>
    <cellStyle name="20% - Accent2" xfId="82" builtinId="34" customBuiltin="1"/>
    <cellStyle name="20% - Accent2 2" xfId="151" xr:uid="{CC6220BA-2AD0-4E7D-B83C-A5E797E46127}"/>
    <cellStyle name="20% - Accent2 2 2" xfId="185" xr:uid="{64423378-01B6-4E33-A721-6C8C9344BA9C}"/>
    <cellStyle name="20% - Accent2 2 2 2" xfId="282" xr:uid="{9EBFA523-5AAE-46AF-8632-5F53AFEB71EF}"/>
    <cellStyle name="20% - Accent2 2 2 2 2" xfId="491" xr:uid="{906D6C73-0ECD-4FCE-A572-1680C7652523}"/>
    <cellStyle name="20% - Accent2 2 2 2 2 2" xfId="1351" xr:uid="{034581F6-97EE-4415-B763-CD3AD22D729E}"/>
    <cellStyle name="20% - Accent2 2 2 2 2 2 2" xfId="2489" xr:uid="{98B8487E-4981-41BC-9423-5D70878995B2}"/>
    <cellStyle name="20% - Accent2 2 2 2 2 2 2 2" xfId="3793" xr:uid="{858BC234-6078-45A2-A0BE-A10C21DD6FFD}"/>
    <cellStyle name="20% - Accent2 2 2 2 2 2 2 2 2" xfId="7250" xr:uid="{5DC833BA-6114-487A-BC20-91639AC41C2B}"/>
    <cellStyle name="20% - Accent2 2 2 2 2 2 2 3" xfId="5511" xr:uid="{CF57E13B-04F1-42F3-BA72-064F94CE9FE0}"/>
    <cellStyle name="20% - Accent2 2 2 2 2 2 3" xfId="2946" xr:uid="{6514B533-E21F-454C-B535-4890689858E1}"/>
    <cellStyle name="20% - Accent2 2 2 2 2 2 3 2" xfId="6381" xr:uid="{0338BC7C-0644-4B6F-8A53-31154A66B90C}"/>
    <cellStyle name="20% - Accent2 2 2 2 2 2 4" xfId="4641" xr:uid="{AD22DA21-405E-41EE-9876-B59021468265}"/>
    <cellStyle name="20% - Accent2 2 2 2 2 3" xfId="1808" xr:uid="{2340FE16-2983-42ED-808B-7B668EB509F7}"/>
    <cellStyle name="20% - Accent2 2 2 2 2 3 2" xfId="3368" xr:uid="{11793B69-73EB-4227-AD68-9B7E862616E1}"/>
    <cellStyle name="20% - Accent2 2 2 2 2 3 2 2" xfId="6815" xr:uid="{5A8C04B0-8905-4CDB-AA9D-3D45F60226E9}"/>
    <cellStyle name="20% - Accent2 2 2 2 2 3 3" xfId="5076" xr:uid="{789A1AA7-3995-4A33-871E-C897155B0C34}"/>
    <cellStyle name="20% - Accent2 2 2 2 2 4" xfId="938" xr:uid="{118156E4-D59E-49FF-893E-361E1BDFE190}"/>
    <cellStyle name="20% - Accent2 2 2 2 2 4 2" xfId="5946" xr:uid="{717F474C-367B-4BFA-A535-8227DE04BAFE}"/>
    <cellStyle name="20% - Accent2 2 2 2 2 5" xfId="4210" xr:uid="{A6A1CCD8-ED18-4EB9-AD55-4848FAF31186}"/>
    <cellStyle name="20% - Accent2 2 2 2 3" xfId="1144" xr:uid="{2B7336B9-113C-4ECF-BEB5-E0C619F7E0DC}"/>
    <cellStyle name="20% - Accent2 2 2 2 3 2" xfId="2301" xr:uid="{F5B43011-F9B0-4019-B4C5-130009DE023E}"/>
    <cellStyle name="20% - Accent2 2 2 2 3 2 2" xfId="3588" xr:uid="{B441DE71-FE64-40EA-B860-401D6B1503EA}"/>
    <cellStyle name="20% - Accent2 2 2 2 3 2 2 2" xfId="7043" xr:uid="{FD5A6126-850C-4498-85C1-DA88FC11F1B3}"/>
    <cellStyle name="20% - Accent2 2 2 2 3 2 3" xfId="5304" xr:uid="{83D31F92-3712-4712-9C21-B2BD674037FB}"/>
    <cellStyle name="20% - Accent2 2 2 2 3 3" xfId="2741" xr:uid="{77557230-8C28-4E42-8A54-40C0806567FE}"/>
    <cellStyle name="20% - Accent2 2 2 2 3 3 2" xfId="6174" xr:uid="{E0FB31CF-64FC-4DC9-87C8-0713D5088C72}"/>
    <cellStyle name="20% - Accent2 2 2 2 3 4" xfId="4434" xr:uid="{459114D3-BD6D-42FD-87B5-583688B5F83A}"/>
    <cellStyle name="20% - Accent2 2 2 2 4" xfId="1618" xr:uid="{487648CA-342C-4FC1-960A-A582ACFF8317}"/>
    <cellStyle name="20% - Accent2 2 2 2 4 2" xfId="3170" xr:uid="{C416BB43-E7C2-462A-B8FD-02EEA827AF99}"/>
    <cellStyle name="20% - Accent2 2 2 2 4 2 2" xfId="6608" xr:uid="{D434F771-5AE4-4591-8096-7393CD4E3877}"/>
    <cellStyle name="20% - Accent2 2 2 2 4 3" xfId="4869" xr:uid="{A35C4CBE-98D4-47CB-9ABC-7C9057E0C69A}"/>
    <cellStyle name="20% - Accent2 2 2 2 5" xfId="731" xr:uid="{285CD502-5737-4C17-976F-505619D400DD}"/>
    <cellStyle name="20% - Accent2 2 2 2 5 2" xfId="5739" xr:uid="{965FE2A1-A1EA-4EF1-80B0-9B731A0039EA}"/>
    <cellStyle name="20% - Accent2 2 2 2 6" xfId="4014" xr:uid="{BEEC5EA0-F513-4F41-A3FA-AE811A72C21F}"/>
    <cellStyle name="20% - Accent2 2 2 3" xfId="398" xr:uid="{13A96E15-5C41-49AC-A545-A2E8E515A7CF}"/>
    <cellStyle name="20% - Accent2 2 2 3 2" xfId="1258" xr:uid="{D1A005E9-84F2-4631-8E1D-D66DC8A6356A}"/>
    <cellStyle name="20% - Accent2 2 2 3 2 2" xfId="2401" xr:uid="{E5B8204E-D336-469A-8F09-889392C9A029}"/>
    <cellStyle name="20% - Accent2 2 2 3 2 2 2" xfId="3700" xr:uid="{1DAB4668-1394-4601-A9FB-FB9C04F32B35}"/>
    <cellStyle name="20% - Accent2 2 2 3 2 2 2 2" xfId="7157" xr:uid="{FB357496-384C-48D0-B20F-E7673E85FF32}"/>
    <cellStyle name="20% - Accent2 2 2 3 2 2 3" xfId="5418" xr:uid="{93F9224A-B499-4028-ABA1-7BBA57F09316}"/>
    <cellStyle name="20% - Accent2 2 2 3 2 3" xfId="2853" xr:uid="{DF992EF8-FBA7-4224-9EE7-2D1456A509E7}"/>
    <cellStyle name="20% - Accent2 2 2 3 2 3 2" xfId="6288" xr:uid="{E0F57D44-AAB9-4F56-9284-578C060D3D8E}"/>
    <cellStyle name="20% - Accent2 2 2 3 2 4" xfId="4548" xr:uid="{B03D2A5F-7117-4814-980F-68A310DE6BBA}"/>
    <cellStyle name="20% - Accent2 2 2 3 3" xfId="1715" xr:uid="{736B6B01-F88C-4611-884D-0E42C9AADD60}"/>
    <cellStyle name="20% - Accent2 2 2 3 3 2" xfId="3280" xr:uid="{1434BE2C-ED37-4029-A612-EC6D84818BB3}"/>
    <cellStyle name="20% - Accent2 2 2 3 3 2 2" xfId="6722" xr:uid="{2400040B-357D-4763-9EB6-92E6C789BEC0}"/>
    <cellStyle name="20% - Accent2 2 2 3 3 3" xfId="4983" xr:uid="{665097FA-4E6A-4A54-AF22-BF016D993C26}"/>
    <cellStyle name="20% - Accent2 2 2 3 4" xfId="845" xr:uid="{6ADD9A19-8C8E-4561-80C6-2E2877273176}"/>
    <cellStyle name="20% - Accent2 2 2 3 4 2" xfId="5853" xr:uid="{DE9D5805-2F5D-43F2-BA33-3AE0DB07A1AC}"/>
    <cellStyle name="20% - Accent2 2 2 3 5" xfId="4122" xr:uid="{34344FDC-BF91-451F-9888-E256AD14AC58}"/>
    <cellStyle name="20% - Accent2 2 2 4" xfId="1045" xr:uid="{CAE9DD72-46B9-4275-80AC-4F82B9ABE465}"/>
    <cellStyle name="20% - Accent2 2 2 4 2" xfId="2218" xr:uid="{9BEAD9AB-DECC-4040-A101-36CB9727361A}"/>
    <cellStyle name="20% - Accent2 2 2 4 2 2" xfId="3491" xr:uid="{2A051B6E-AE70-4B78-A25E-FD3B2A283C30}"/>
    <cellStyle name="20% - Accent2 2 2 4 2 2 2" xfId="6943" xr:uid="{FC0568E5-006C-4DA7-8A6E-85E517661DBE}"/>
    <cellStyle name="20% - Accent2 2 2 4 2 3" xfId="5204" xr:uid="{5A658521-3A39-42FA-AE4F-B7A9E4820910}"/>
    <cellStyle name="20% - Accent2 2 2 4 3" xfId="2648" xr:uid="{2C67DD16-C9DA-4ECA-ACF0-FAEA6C400640}"/>
    <cellStyle name="20% - Accent2 2 2 4 3 2" xfId="6074" xr:uid="{5AAF8C70-67BA-4C6F-A752-663FE26DF4CB}"/>
    <cellStyle name="20% - Accent2 2 2 4 4" xfId="4335" xr:uid="{3301D65C-F3D2-4438-A865-A4F75179126C}"/>
    <cellStyle name="20% - Accent2 2 2 5" xfId="1500" xr:uid="{5AEE1A7F-2521-4D08-8B50-2BB507CF3D18}"/>
    <cellStyle name="20% - Accent2 2 2 5 2" xfId="3074" xr:uid="{00A0744A-4545-42FE-9422-3A2256D931D0}"/>
    <cellStyle name="20% - Accent2 2 2 5 2 2" xfId="6509" xr:uid="{5F2FF22A-4F5A-469E-ACBD-FA594F7CF838}"/>
    <cellStyle name="20% - Accent2 2 2 5 3" xfId="4769" xr:uid="{A142B0C9-04AD-4907-9D4D-E96445B30446}"/>
    <cellStyle name="20% - Accent2 2 2 6" xfId="631" xr:uid="{70F44AAB-FBA0-4262-9C46-06176F3A2506}"/>
    <cellStyle name="20% - Accent2 2 2 6 2" xfId="5639" xr:uid="{93487F01-B18B-4BC9-AFDD-2392D49C958E}"/>
    <cellStyle name="20% - Accent2 2 2 7" xfId="3923" xr:uid="{3F51F7F5-F1B4-4007-93C1-CA8C4169CDA4}"/>
    <cellStyle name="20% - Accent2 2 3" xfId="252" xr:uid="{29911D74-A28E-4D79-979B-C1B7BCA5BE0F}"/>
    <cellStyle name="20% - Accent2 2 3 2" xfId="461" xr:uid="{1D868B3B-FEAF-4273-B956-C85C722E9D0E}"/>
    <cellStyle name="20% - Accent2 2 3 2 2" xfId="1321" xr:uid="{65181735-FBAF-48B7-9E53-6C61986C7707}"/>
    <cellStyle name="20% - Accent2 2 3 2 2 2" xfId="2461" xr:uid="{00EC481C-2C72-4E08-8D5A-DE60FC80A858}"/>
    <cellStyle name="20% - Accent2 2 3 2 2 2 2" xfId="3763" xr:uid="{1313DD40-1B9E-491D-B0C7-024AD8016846}"/>
    <cellStyle name="20% - Accent2 2 3 2 2 2 2 2" xfId="7220" xr:uid="{06CE08CA-34C6-41A2-BED6-A48EA38B388D}"/>
    <cellStyle name="20% - Accent2 2 3 2 2 2 3" xfId="5481" xr:uid="{F8556329-D894-44E1-96AA-4458CEBE6174}"/>
    <cellStyle name="20% - Accent2 2 3 2 2 3" xfId="2916" xr:uid="{EE1E7C57-0F33-4B59-943D-9AA981049DC5}"/>
    <cellStyle name="20% - Accent2 2 3 2 2 3 2" xfId="6351" xr:uid="{BBC2821C-0061-45D9-AE96-83F62F081E62}"/>
    <cellStyle name="20% - Accent2 2 3 2 2 4" xfId="4611" xr:uid="{632318FF-B4F0-4A1D-9DA8-C08E639C71AF}"/>
    <cellStyle name="20% - Accent2 2 3 2 3" xfId="1778" xr:uid="{8A4CBDFF-7B7D-4D87-8043-686171D4553E}"/>
    <cellStyle name="20% - Accent2 2 3 2 3 2" xfId="3340" xr:uid="{CD682EE5-9F9A-4B55-B9D5-8029A221EC4C}"/>
    <cellStyle name="20% - Accent2 2 3 2 3 2 2" xfId="6785" xr:uid="{4FBE39CF-4ECA-4ED9-8A07-B6F944F03776}"/>
    <cellStyle name="20% - Accent2 2 3 2 3 3" xfId="5046" xr:uid="{29C8BCB7-E4BF-4D55-946C-2BD66E7C6D12}"/>
    <cellStyle name="20% - Accent2 2 3 2 4" xfId="908" xr:uid="{D87DC676-9669-4FA0-89BD-4FFD40694251}"/>
    <cellStyle name="20% - Accent2 2 3 2 4 2" xfId="5916" xr:uid="{55344710-987C-484B-AB18-CF875A61CBE0}"/>
    <cellStyle name="20% - Accent2 2 3 2 5" xfId="4182" xr:uid="{FEF196D4-CCB6-4730-B6EC-0CA5D6977E61}"/>
    <cellStyle name="20% - Accent2 2 3 3" xfId="1114" xr:uid="{32D9329C-5B93-4032-8436-DBEBCDE4A9E0}"/>
    <cellStyle name="20% - Accent2 2 3 3 2" xfId="2273" xr:uid="{329ACD2D-1042-43B5-A338-147EBA6C5741}"/>
    <cellStyle name="20% - Accent2 2 3 3 2 2" xfId="3558" xr:uid="{D21EC8A6-ACB6-4272-9337-FB8ED3025373}"/>
    <cellStyle name="20% - Accent2 2 3 3 2 2 2" xfId="7013" xr:uid="{6AD38FA6-C45B-483E-8B86-40CC5DEABF29}"/>
    <cellStyle name="20% - Accent2 2 3 3 2 3" xfId="5274" xr:uid="{EAE65916-6B1B-42EB-8FFD-465BC7D770B7}"/>
    <cellStyle name="20% - Accent2 2 3 3 3" xfId="2711" xr:uid="{210FBD95-AFA6-44CE-96C7-2A7BCDE3CE8B}"/>
    <cellStyle name="20% - Accent2 2 3 3 3 2" xfId="6144" xr:uid="{79BA5339-4E42-4EE3-916B-D6882375BAF9}"/>
    <cellStyle name="20% - Accent2 2 3 3 4" xfId="4404" xr:uid="{3456A111-FE92-402F-B27A-399277282888}"/>
    <cellStyle name="20% - Accent2 2 3 4" xfId="1588" xr:uid="{4F8E73BA-53E5-400C-8726-C528CCC4C191}"/>
    <cellStyle name="20% - Accent2 2 3 4 2" xfId="3142" xr:uid="{B25882DE-2FE7-462F-A45C-0F58E1B68272}"/>
    <cellStyle name="20% - Accent2 2 3 4 2 2" xfId="6578" xr:uid="{CA975BB5-6591-4B39-9D5A-FB1DD6A6DCF2}"/>
    <cellStyle name="20% - Accent2 2 3 4 3" xfId="4839" xr:uid="{8ED91BE5-600B-4228-8BC4-C9B500DEA944}"/>
    <cellStyle name="20% - Accent2 2 3 5" xfId="701" xr:uid="{0E2252D8-751C-4D4E-AA3C-196F4CD460B9}"/>
    <cellStyle name="20% - Accent2 2 3 5 2" xfId="5709" xr:uid="{3CBB45E2-9E98-491C-A652-60980F4728AC}"/>
    <cellStyle name="20% - Accent2 2 3 6" xfId="3986" xr:uid="{873C70A9-E18A-44A6-8A31-64AC34440E3E}"/>
    <cellStyle name="20% - Accent2 2 4" xfId="366" xr:uid="{0CC41E43-68DF-4625-9049-0114EF268F5C}"/>
    <cellStyle name="20% - Accent2 2 4 2" xfId="1228" xr:uid="{F9EFAB00-487A-4A0E-8E37-5FD221DEB01B}"/>
    <cellStyle name="20% - Accent2 2 4 2 2" xfId="2373" xr:uid="{7383FCDC-951C-4F85-B3B1-B41C2A4563B0}"/>
    <cellStyle name="20% - Accent2 2 4 2 2 2" xfId="3670" xr:uid="{1976D8AE-B51B-4B43-81EC-E910C5515E32}"/>
    <cellStyle name="20% - Accent2 2 4 2 2 2 2" xfId="7127" xr:uid="{2C36A307-9027-4195-8C76-7C9532908DF0}"/>
    <cellStyle name="20% - Accent2 2 4 2 2 3" xfId="5388" xr:uid="{3A7E4BA5-C9B2-4487-8552-D35F1C7DE734}"/>
    <cellStyle name="20% - Accent2 2 4 2 3" xfId="2823" xr:uid="{775731CF-DC67-48A6-8D30-E095EB9C13C6}"/>
    <cellStyle name="20% - Accent2 2 4 2 3 2" xfId="6258" xr:uid="{1FDE02ED-73A4-47C1-80FB-4200F185C136}"/>
    <cellStyle name="20% - Accent2 2 4 2 4" xfId="4518" xr:uid="{2B1A6722-72DC-480C-BEE9-614885258081}"/>
    <cellStyle name="20% - Accent2 2 4 3" xfId="1684" xr:uid="{84234975-4B90-4D1D-940F-11A107C71626}"/>
    <cellStyle name="20% - Accent2 2 4 3 2" xfId="3252" xr:uid="{13E88836-6598-46C8-8715-BCE456CB2851}"/>
    <cellStyle name="20% - Accent2 2 4 3 2 2" xfId="6692" xr:uid="{24A3BF09-98D1-4313-A0A3-FC67B05EF13F}"/>
    <cellStyle name="20% - Accent2 2 4 3 3" xfId="4953" xr:uid="{ED233EC6-FCC0-4208-BE2F-62A350D54F02}"/>
    <cellStyle name="20% - Accent2 2 4 4" xfId="815" xr:uid="{913B68D7-810C-4AE9-99A8-7DA5D9066603}"/>
    <cellStyle name="20% - Accent2 2 4 4 2" xfId="5823" xr:uid="{751BF327-5D75-48B6-98A4-EB1F902D69E8}"/>
    <cellStyle name="20% - Accent2 2 4 5" xfId="4094" xr:uid="{BE2A2CFD-FF17-4CB8-AB86-5910ADB8CBE6}"/>
    <cellStyle name="20% - Accent2 2 5" xfId="1015" xr:uid="{F0A8BD75-86D6-416E-9990-255E4CEB3E2C}"/>
    <cellStyle name="20% - Accent2 2 5 2" xfId="2190" xr:uid="{03EDE44D-9DA0-46F5-8BC5-37F9603891BA}"/>
    <cellStyle name="20% - Accent2 2 5 2 2" xfId="3463" xr:uid="{173064AC-CFF6-45C5-8078-8713FF71247E}"/>
    <cellStyle name="20% - Accent2 2 5 2 2 2" xfId="6913" xr:uid="{897F0A22-50BD-4BD6-84C9-705B3FEB2E52}"/>
    <cellStyle name="20% - Accent2 2 5 2 3" xfId="5174" xr:uid="{7DF697A8-3B3F-4D40-8F57-C8DA07551FC2}"/>
    <cellStyle name="20% - Accent2 2 5 3" xfId="2620" xr:uid="{A71B509C-9C13-4100-B561-BE035CBE02A3}"/>
    <cellStyle name="20% - Accent2 2 5 3 2" xfId="6044" xr:uid="{06B956E9-64E3-4C13-B673-0122F402F88C}"/>
    <cellStyle name="20% - Accent2 2 5 4" xfId="4305" xr:uid="{1E67C563-99DC-460C-8DB3-68FC5AF95BFD}"/>
    <cellStyle name="20% - Accent2 2 6" xfId="1469" xr:uid="{09FE18D4-F3AF-470B-8E5F-AC9468048082}"/>
    <cellStyle name="20% - Accent2 2 6 2" xfId="3044" xr:uid="{022A77EB-0E69-4E8E-A97F-FA3056BFB5AA}"/>
    <cellStyle name="20% - Accent2 2 6 2 2" xfId="6479" xr:uid="{20CE4804-A09A-48D0-8566-8D51D9E783D7}"/>
    <cellStyle name="20% - Accent2 2 6 3" xfId="4739" xr:uid="{077E3C3A-601F-48D6-AEE6-ABAD8D43E1D8}"/>
    <cellStyle name="20% - Accent2 2 7" xfId="601" xr:uid="{B87A31B9-0A1E-46D7-8AE2-950E84A40F19}"/>
    <cellStyle name="20% - Accent2 2 7 2" xfId="5609" xr:uid="{F4D4CDE5-4A1F-4AE5-8229-84CF168B0345}"/>
    <cellStyle name="20% - Accent2 2 8" xfId="3895" xr:uid="{165F9C7A-7982-45F4-B087-EBEA07B66D16}"/>
    <cellStyle name="20% - Accent2 3" xfId="170" xr:uid="{165D63D9-4F25-4A86-B5DC-3A02AA530E8C}"/>
    <cellStyle name="20% - Accent2 3 2" xfId="267" xr:uid="{35A28CEF-FDBE-4DD1-909A-23BCC50B710C}"/>
    <cellStyle name="20% - Accent2 3 2 2" xfId="476" xr:uid="{ABB8D6E1-CE9E-496C-B269-A4BBA93798C5}"/>
    <cellStyle name="20% - Accent2 3 2 2 2" xfId="1336" xr:uid="{40118D66-C304-473A-B9F1-39C32EB07BF3}"/>
    <cellStyle name="20% - Accent2 3 2 2 2 2" xfId="2475" xr:uid="{33488DEE-D44C-47FD-8E2A-28DC34478385}"/>
    <cellStyle name="20% - Accent2 3 2 2 2 2 2" xfId="3778" xr:uid="{98C2B713-313C-4777-B638-5964CEAD4130}"/>
    <cellStyle name="20% - Accent2 3 2 2 2 2 2 2" xfId="7235" xr:uid="{9FE29B97-1BF8-46EE-8B10-06275083A386}"/>
    <cellStyle name="20% - Accent2 3 2 2 2 2 3" xfId="5496" xr:uid="{0118666D-489E-4F2C-9FD9-3D0AD7163151}"/>
    <cellStyle name="20% - Accent2 3 2 2 2 3" xfId="2931" xr:uid="{243B04F9-FCD4-446D-8A90-D43C596BF614}"/>
    <cellStyle name="20% - Accent2 3 2 2 2 3 2" xfId="6366" xr:uid="{6971BFA3-8FA9-4309-9B4C-97A829E85D4B}"/>
    <cellStyle name="20% - Accent2 3 2 2 2 4" xfId="4626" xr:uid="{D105D07D-4736-41E3-87CC-2B5A5E686CC7}"/>
    <cellStyle name="20% - Accent2 3 2 2 3" xfId="1793" xr:uid="{4B50BB23-64AB-4DA5-9A14-71D86FA6CC07}"/>
    <cellStyle name="20% - Accent2 3 2 2 3 2" xfId="3354" xr:uid="{FFE54E41-6DAC-4891-A74C-B13CB1ABA5FD}"/>
    <cellStyle name="20% - Accent2 3 2 2 3 2 2" xfId="6800" xr:uid="{A729CDA9-F545-4447-BB31-6CCD63493C96}"/>
    <cellStyle name="20% - Accent2 3 2 2 3 3" xfId="5061" xr:uid="{36FDA2F2-A76F-44E4-AFB0-FF748221B2BE}"/>
    <cellStyle name="20% - Accent2 3 2 2 4" xfId="923" xr:uid="{9BE9E348-A1CB-4CCE-BE68-FC57A415B5DB}"/>
    <cellStyle name="20% - Accent2 3 2 2 4 2" xfId="5931" xr:uid="{0A2BD6A5-C8F6-4E43-A142-E15B611D4919}"/>
    <cellStyle name="20% - Accent2 3 2 2 5" xfId="4196" xr:uid="{C66762FE-5C0A-460B-8682-E32DBD856A92}"/>
    <cellStyle name="20% - Accent2 3 2 3" xfId="1129" xr:uid="{C692755E-2C07-4B77-8DB5-1E595F1FB7DE}"/>
    <cellStyle name="20% - Accent2 3 2 3 2" xfId="2287" xr:uid="{11F452EB-9853-4A4B-A362-D3970E93458F}"/>
    <cellStyle name="20% - Accent2 3 2 3 2 2" xfId="3573" xr:uid="{436D910E-29BF-412E-B655-1B7507680FAA}"/>
    <cellStyle name="20% - Accent2 3 2 3 2 2 2" xfId="7028" xr:uid="{DFB5E514-0B2C-4871-BD74-81761C4D3EFB}"/>
    <cellStyle name="20% - Accent2 3 2 3 2 3" xfId="5289" xr:uid="{05A7FF37-2B60-4DB2-BBB7-3C18370071E3}"/>
    <cellStyle name="20% - Accent2 3 2 3 3" xfId="2726" xr:uid="{889FF6A0-D610-4965-81B5-179D640FA38B}"/>
    <cellStyle name="20% - Accent2 3 2 3 3 2" xfId="6159" xr:uid="{ABC7F821-770B-47DE-9662-6A0E271E28CE}"/>
    <cellStyle name="20% - Accent2 3 2 3 4" xfId="4419" xr:uid="{BAEF48BE-900A-49F4-ABC5-E8960227FE5B}"/>
    <cellStyle name="20% - Accent2 3 2 4" xfId="1603" xr:uid="{541DEA89-C97E-4F14-8CDB-1A870100B8F3}"/>
    <cellStyle name="20% - Accent2 3 2 4 2" xfId="3156" xr:uid="{EFAC7548-1B69-413D-BB00-F27BD2DCDED3}"/>
    <cellStyle name="20% - Accent2 3 2 4 2 2" xfId="6593" xr:uid="{6A61F5DE-4F6A-4924-BFF2-00506F2836B7}"/>
    <cellStyle name="20% - Accent2 3 2 4 3" xfId="4854" xr:uid="{545B9B4F-B400-4F9B-9380-30FF07619618}"/>
    <cellStyle name="20% - Accent2 3 2 5" xfId="716" xr:uid="{D791247D-35DF-4D1B-A562-C56AE7129754}"/>
    <cellStyle name="20% - Accent2 3 2 5 2" xfId="5724" xr:uid="{61A42506-CD2D-4E03-991E-FD47C197C378}"/>
    <cellStyle name="20% - Accent2 3 2 6" xfId="4000" xr:uid="{C657DFEA-2703-4070-9D65-6626138E5FFD}"/>
    <cellStyle name="20% - Accent2 3 3" xfId="383" xr:uid="{24B0104B-6471-409B-941C-146976EAC568}"/>
    <cellStyle name="20% - Accent2 3 3 2" xfId="1243" xr:uid="{4DC152BD-56F2-4D96-A434-A79DB88ADD26}"/>
    <cellStyle name="20% - Accent2 3 3 2 2" xfId="2387" xr:uid="{1D304438-51DF-4C6F-8E15-E9ED09821C72}"/>
    <cellStyle name="20% - Accent2 3 3 2 2 2" xfId="3685" xr:uid="{9B397491-0CF5-437C-84AA-0B77AAFA0593}"/>
    <cellStyle name="20% - Accent2 3 3 2 2 2 2" xfId="7142" xr:uid="{B9FC2C47-04BD-4D1F-B280-5D0698F9887C}"/>
    <cellStyle name="20% - Accent2 3 3 2 2 3" xfId="5403" xr:uid="{38C05CCC-88F0-4B5D-8874-8174571F020D}"/>
    <cellStyle name="20% - Accent2 3 3 2 3" xfId="2838" xr:uid="{CB159989-2A61-4820-9D33-F622EB0E8A35}"/>
    <cellStyle name="20% - Accent2 3 3 2 3 2" xfId="6273" xr:uid="{71EA5975-4F9A-4CA8-9686-61069603B611}"/>
    <cellStyle name="20% - Accent2 3 3 2 4" xfId="4533" xr:uid="{E0F5E31C-8FB4-4BB3-BB63-0ECDFBCA89CF}"/>
    <cellStyle name="20% - Accent2 3 3 3" xfId="1700" xr:uid="{77C16B7F-D974-4049-B3FE-0D4989A68891}"/>
    <cellStyle name="20% - Accent2 3 3 3 2" xfId="3266" xr:uid="{D0D7933B-6FD8-4A39-A98A-DD10CBA30993}"/>
    <cellStyle name="20% - Accent2 3 3 3 2 2" xfId="6707" xr:uid="{B768CFC4-2B6C-4A15-95CB-2A7967BEB48E}"/>
    <cellStyle name="20% - Accent2 3 3 3 3" xfId="4968" xr:uid="{03DC92F3-D194-4212-94BC-3DCB0C5505DE}"/>
    <cellStyle name="20% - Accent2 3 3 4" xfId="830" xr:uid="{6E680FC1-6AB9-46C2-BB4D-E0923BA5E0CA}"/>
    <cellStyle name="20% - Accent2 3 3 4 2" xfId="5838" xr:uid="{8C328E77-4A17-47F1-A215-028542304828}"/>
    <cellStyle name="20% - Accent2 3 3 5" xfId="4108" xr:uid="{8D37D234-453E-4A50-839B-E6C027E51304}"/>
    <cellStyle name="20% - Accent2 3 4" xfId="1030" xr:uid="{B33A9709-194C-4C77-AEC2-53C253998E74}"/>
    <cellStyle name="20% - Accent2 3 4 2" xfId="2204" xr:uid="{4C032806-C828-4C10-BE1A-E01FA9F0847B}"/>
    <cellStyle name="20% - Accent2 3 4 2 2" xfId="3477" xr:uid="{6871B93D-BEBB-416C-9BA8-ADC202C8A9AF}"/>
    <cellStyle name="20% - Accent2 3 4 2 2 2" xfId="6928" xr:uid="{CCB45811-DD0C-4DA4-A458-1649DBB4DA55}"/>
    <cellStyle name="20% - Accent2 3 4 2 3" xfId="5189" xr:uid="{B7354F51-E946-4533-B763-659869EA2808}"/>
    <cellStyle name="20% - Accent2 3 4 3" xfId="2634" xr:uid="{79CAA864-733E-498E-91CB-CFBACBEC58CF}"/>
    <cellStyle name="20% - Accent2 3 4 3 2" xfId="6059" xr:uid="{77DB9BAD-0AFF-4585-B043-D5998F33EDC0}"/>
    <cellStyle name="20% - Accent2 3 4 4" xfId="4320" xr:uid="{5B8EC278-48E7-4784-A1C4-DC54070D9C49}"/>
    <cellStyle name="20% - Accent2 3 5" xfId="1485" xr:uid="{80D75EF3-CF84-42F5-BA84-6788618B104F}"/>
    <cellStyle name="20% - Accent2 3 5 2" xfId="3059" xr:uid="{5972761F-C0FD-42F0-8EC3-D2BBDD03BC37}"/>
    <cellStyle name="20% - Accent2 3 5 2 2" xfId="6494" xr:uid="{FAF68774-31BD-4B5A-890F-AC4EAC774689}"/>
    <cellStyle name="20% - Accent2 3 5 3" xfId="4754" xr:uid="{F5FA5538-A0AA-4C90-8C99-55AE0A70E01D}"/>
    <cellStyle name="20% - Accent2 3 6" xfId="616" xr:uid="{2E1A983A-099A-43B8-AEB9-389FF5CC5AB3}"/>
    <cellStyle name="20% - Accent2 3 6 2" xfId="5624" xr:uid="{2EBC6856-CC02-4ED5-9731-C4ED627BD336}"/>
    <cellStyle name="20% - Accent2 3 7" xfId="3909" xr:uid="{2ADAE65F-0349-493B-A2BB-2FB83408FDBD}"/>
    <cellStyle name="20% - Accent2 4" xfId="237" xr:uid="{52039A15-6859-4F92-AAFB-EB84374529E8}"/>
    <cellStyle name="20% - Accent2 4 2" xfId="446" xr:uid="{FC60FA3B-1CFA-4C45-B766-97676E1E1825}"/>
    <cellStyle name="20% - Accent2 4 2 2" xfId="1306" xr:uid="{9DC389F8-1F22-4685-9E2F-83FB148CA4FF}"/>
    <cellStyle name="20% - Accent2 4 2 2 2" xfId="2447" xr:uid="{2AAC5ECA-F815-4F25-B8A2-3DBDC1DDCE2C}"/>
    <cellStyle name="20% - Accent2 4 2 2 2 2" xfId="3748" xr:uid="{FFFF68D8-2412-4B31-A3C9-C8C34B7DCB68}"/>
    <cellStyle name="20% - Accent2 4 2 2 2 2 2" xfId="7205" xr:uid="{E1729F7C-CF96-4DE6-9961-1EC6F6DBC907}"/>
    <cellStyle name="20% - Accent2 4 2 2 2 3" xfId="5466" xr:uid="{208759DF-A067-44CC-957D-99E1B766A180}"/>
    <cellStyle name="20% - Accent2 4 2 2 3" xfId="2901" xr:uid="{FCB9907D-DB97-4E1E-B14D-3E74F41BD966}"/>
    <cellStyle name="20% - Accent2 4 2 2 3 2" xfId="6336" xr:uid="{FE9F3514-346B-4690-9EC7-38780407E3B2}"/>
    <cellStyle name="20% - Accent2 4 2 2 4" xfId="4596" xr:uid="{49C1108C-56D4-48E2-BDE6-469DC4900601}"/>
    <cellStyle name="20% - Accent2 4 2 3" xfId="1763" xr:uid="{0CF57C34-F22B-4480-8070-A1C1DC9FCAEC}"/>
    <cellStyle name="20% - Accent2 4 2 3 2" xfId="3326" xr:uid="{81D01556-4D7A-44F8-B0CB-531C41D18B5C}"/>
    <cellStyle name="20% - Accent2 4 2 3 2 2" xfId="6770" xr:uid="{7A19E08E-0086-45DB-85DE-CF0FF3D4EEDF}"/>
    <cellStyle name="20% - Accent2 4 2 3 3" xfId="5031" xr:uid="{9B6CB285-0FDA-48AC-8180-F268C92ABDF5}"/>
    <cellStyle name="20% - Accent2 4 2 4" xfId="893" xr:uid="{CBF11E5E-B2BA-4385-BD2F-D30EC4B778F3}"/>
    <cellStyle name="20% - Accent2 4 2 4 2" xfId="5901" xr:uid="{5A06DD45-5B21-4CD0-9227-EC18BBF86F77}"/>
    <cellStyle name="20% - Accent2 4 2 5" xfId="4168" xr:uid="{4ED1043F-6BC1-4B7A-AFB0-763FAAA0B6BA}"/>
    <cellStyle name="20% - Accent2 4 3" xfId="1099" xr:uid="{1941D3A4-6FA6-42A4-8565-6B80DAE8817A}"/>
    <cellStyle name="20% - Accent2 4 3 2" xfId="2259" xr:uid="{4B3DCD57-CA3C-4EF2-A91D-8F1522F1DF56}"/>
    <cellStyle name="20% - Accent2 4 3 2 2" xfId="3544" xr:uid="{9D93A68A-51D7-4B60-8B59-922C9F7F0214}"/>
    <cellStyle name="20% - Accent2 4 3 2 2 2" xfId="6998" xr:uid="{36348DF6-8AAB-4A87-A7BB-699B012C217A}"/>
    <cellStyle name="20% - Accent2 4 3 2 3" xfId="5259" xr:uid="{48285089-1349-4F33-87C1-BF2437BDDC8F}"/>
    <cellStyle name="20% - Accent2 4 3 3" xfId="2697" xr:uid="{CA590728-0ECE-409D-9FFE-233068FCAAA3}"/>
    <cellStyle name="20% - Accent2 4 3 3 2" xfId="6129" xr:uid="{4906F483-EB09-43CB-912A-2A5A7327C5B7}"/>
    <cellStyle name="20% - Accent2 4 3 4" xfId="4389" xr:uid="{D3196B53-0B9F-4223-A036-2F3F7E77396E}"/>
    <cellStyle name="20% - Accent2 4 4" xfId="1573" xr:uid="{9F454952-CDB4-4AD0-8C1C-76C62E5E0607}"/>
    <cellStyle name="20% - Accent2 4 4 2" xfId="3127" xr:uid="{15C3AE43-64E6-450B-9E25-4BB122244E67}"/>
    <cellStyle name="20% - Accent2 4 4 2 2" xfId="6563" xr:uid="{AB09271D-44D5-4DCB-A51D-5135607CD7CE}"/>
    <cellStyle name="20% - Accent2 4 4 3" xfId="4824" xr:uid="{1712F1CB-326F-4762-851D-2127F3090878}"/>
    <cellStyle name="20% - Accent2 4 5" xfId="686" xr:uid="{2CAFB0C0-E2DD-421F-95E6-D737CA4C58F5}"/>
    <cellStyle name="20% - Accent2 4 5 2" xfId="5694" xr:uid="{1F2FDDF9-1DB8-41B8-BA3E-BB05AFE855A2}"/>
    <cellStyle name="20% - Accent2 4 6" xfId="3972" xr:uid="{996B9FCA-A101-4E96-883C-7DD63209F0CE}"/>
    <cellStyle name="20% - Accent2 5" xfId="348" xr:uid="{88698B03-B71C-49C3-9BED-EAFF47938C70}"/>
    <cellStyle name="20% - Accent2 5 2" xfId="1213" xr:uid="{1187B805-61CB-453C-B8D6-5633FF137D32}"/>
    <cellStyle name="20% - Accent2 5 2 2" xfId="2359" xr:uid="{C1FA0452-CFA2-45EB-A264-3F5CE475C2AC}"/>
    <cellStyle name="20% - Accent2 5 2 2 2" xfId="3656" xr:uid="{6F02A92A-0690-4618-ADAA-3684C3A25285}"/>
    <cellStyle name="20% - Accent2 5 2 2 2 2" xfId="7112" xr:uid="{21872016-8795-45AD-A8C8-814ED27A6C91}"/>
    <cellStyle name="20% - Accent2 5 2 2 3" xfId="5373" xr:uid="{32D5F3F7-F1C9-4865-84C6-98FF427ED4E1}"/>
    <cellStyle name="20% - Accent2 5 2 3" xfId="2809" xr:uid="{A449B312-6B42-454B-9E60-3EA7EFE4D329}"/>
    <cellStyle name="20% - Accent2 5 2 3 2" xfId="6243" xr:uid="{8316CE97-E9D9-4D97-8D0C-C10380867371}"/>
    <cellStyle name="20% - Accent2 5 2 4" xfId="4503" xr:uid="{2F9A5074-AB04-477F-BD09-491E90434BF4}"/>
    <cellStyle name="20% - Accent2 5 3" xfId="1667" xr:uid="{B459B4B2-1E68-445D-8D9B-2FE2B965AB29}"/>
    <cellStyle name="20% - Accent2 5 3 2" xfId="3237" xr:uid="{12EFF85C-6E21-4061-B5F9-7228B13F50C6}"/>
    <cellStyle name="20% - Accent2 5 3 2 2" xfId="6677" xr:uid="{745BD190-B37E-4AE7-8941-5D5F4EA148C2}"/>
    <cellStyle name="20% - Accent2 5 3 3" xfId="4938" xr:uid="{87B6236B-72F6-4297-9F02-08B8E9F36E2F}"/>
    <cellStyle name="20% - Accent2 5 4" xfId="800" xr:uid="{1BC2C081-EE51-4218-93B9-461BE85EA6CC}"/>
    <cellStyle name="20% - Accent2 5 4 2" xfId="5808" xr:uid="{78DB321D-A3F7-4508-998A-D0FC2EF335AF}"/>
    <cellStyle name="20% - Accent2 5 5" xfId="4080" xr:uid="{1D678830-3CB9-44E1-BB68-2305718CDB7A}"/>
    <cellStyle name="20% - Accent2 6" xfId="1000" xr:uid="{B6770DF8-132C-41C7-B1DC-1740AA7AFB7C}"/>
    <cellStyle name="20% - Accent2 6 2" xfId="2176" xr:uid="{68862DE0-DF83-4BAF-A14B-C09ED860DDE5}"/>
    <cellStyle name="20% - Accent2 6 2 2" xfId="3449" xr:uid="{B4FEC208-161C-4078-A7BC-A898C3C432A1}"/>
    <cellStyle name="20% - Accent2 6 2 2 2" xfId="6898" xr:uid="{D62F035D-AD06-48D5-8664-7ADAB4C3F6CA}"/>
    <cellStyle name="20% - Accent2 6 2 3" xfId="5159" xr:uid="{EDD9E6CE-9383-4113-8154-BC57225AC829}"/>
    <cellStyle name="20% - Accent2 6 3" xfId="2606" xr:uid="{A2E0EDBB-CFC6-4EE7-8256-8A1EB8BACF03}"/>
    <cellStyle name="20% - Accent2 6 3 2" xfId="6029" xr:uid="{B09C88B9-4A24-4F2F-9C3C-12815BC3C7AD}"/>
    <cellStyle name="20% - Accent2 6 4" xfId="4291" xr:uid="{43DDFED1-76BB-49FB-935D-5281155DA479}"/>
    <cellStyle name="20% - Accent2 7" xfId="1449" xr:uid="{941DCAEF-7882-4177-B28F-22584F681113}"/>
    <cellStyle name="20% - Accent2 7 2" xfId="3029" xr:uid="{A097D906-AA26-4066-8BCC-4D6A2CC0712E}"/>
    <cellStyle name="20% - Accent2 7 2 2" xfId="6464" xr:uid="{0A7D73F1-9B26-451C-B9D4-3AC4F1C11476}"/>
    <cellStyle name="20% - Accent2 7 3" xfId="4724" xr:uid="{51731747-643C-4003-96A9-FE7B0AC4BF85}"/>
    <cellStyle name="20% - Accent2 8" xfId="586" xr:uid="{6EA3D94A-B768-4798-969E-7764300DC8EE}"/>
    <cellStyle name="20% - Accent2 8 2" xfId="5594" xr:uid="{F7C4DB3A-2102-4E3F-B7EC-A055A3134618}"/>
    <cellStyle name="20% - Accent2 9" xfId="3881" xr:uid="{350A522B-99C6-4E4F-BC3F-2AABE118A0F6}"/>
    <cellStyle name="20% - Accent3" xfId="85" builtinId="38" customBuiltin="1"/>
    <cellStyle name="20% - Accent3 2" xfId="153" xr:uid="{2D09E732-E631-470A-8DC4-FB7614CCA6BF}"/>
    <cellStyle name="20% - Accent3 2 2" xfId="187" xr:uid="{E45A3101-D9E2-426D-9EBD-52CA26594E0E}"/>
    <cellStyle name="20% - Accent3 2 2 2" xfId="284" xr:uid="{2E648835-1D03-414D-8416-78F93027734F}"/>
    <cellStyle name="20% - Accent3 2 2 2 2" xfId="493" xr:uid="{2D9BC1F7-1EBA-4F79-9FEE-65F7DA2B000E}"/>
    <cellStyle name="20% - Accent3 2 2 2 2 2" xfId="1353" xr:uid="{CFADD751-BAA2-47E0-946A-C6B69FCA02D7}"/>
    <cellStyle name="20% - Accent3 2 2 2 2 2 2" xfId="2491" xr:uid="{30FF76AB-3520-46E6-A493-19DAAB090102}"/>
    <cellStyle name="20% - Accent3 2 2 2 2 2 2 2" xfId="3795" xr:uid="{3FB594A4-11B6-441A-82DA-14C68053EBC7}"/>
    <cellStyle name="20% - Accent3 2 2 2 2 2 2 2 2" xfId="7252" xr:uid="{328394D2-4AC4-4AF1-A629-AF501A88882B}"/>
    <cellStyle name="20% - Accent3 2 2 2 2 2 2 3" xfId="5513" xr:uid="{8481DCF5-E4A0-4E1D-8C4F-B1AF49920787}"/>
    <cellStyle name="20% - Accent3 2 2 2 2 2 3" xfId="2948" xr:uid="{01DAA3E5-0F4A-46A2-9EA7-0EB3D8A25230}"/>
    <cellStyle name="20% - Accent3 2 2 2 2 2 3 2" xfId="6383" xr:uid="{CF5A5811-9989-45AA-96EF-86135FA39937}"/>
    <cellStyle name="20% - Accent3 2 2 2 2 2 4" xfId="4643" xr:uid="{DD8E21A4-4D48-4F99-8608-289EE67643CE}"/>
    <cellStyle name="20% - Accent3 2 2 2 2 3" xfId="1810" xr:uid="{9BDCDFEA-BCC0-417B-98DD-0D690C706B61}"/>
    <cellStyle name="20% - Accent3 2 2 2 2 3 2" xfId="3370" xr:uid="{FB571DDE-ADC9-4E6E-BCE7-1B1AC0FF96C2}"/>
    <cellStyle name="20% - Accent3 2 2 2 2 3 2 2" xfId="6817" xr:uid="{2D0F09A0-4759-4079-92AD-582D360C8267}"/>
    <cellStyle name="20% - Accent3 2 2 2 2 3 3" xfId="5078" xr:uid="{7E842E60-1EAC-49CC-9BBB-4EF36A28C307}"/>
    <cellStyle name="20% - Accent3 2 2 2 2 4" xfId="940" xr:uid="{5A692E2B-0E88-4B9B-88B8-772C4691DF57}"/>
    <cellStyle name="20% - Accent3 2 2 2 2 4 2" xfId="5948" xr:uid="{DCC33A10-2101-4114-BAFE-449F99B70461}"/>
    <cellStyle name="20% - Accent3 2 2 2 2 5" xfId="4212" xr:uid="{01D1FB3E-EE2E-42A6-B77E-F624E3867C8F}"/>
    <cellStyle name="20% - Accent3 2 2 2 3" xfId="1146" xr:uid="{C1C69945-2C3B-465F-B27D-D00447BA0A05}"/>
    <cellStyle name="20% - Accent3 2 2 2 3 2" xfId="2303" xr:uid="{BF85C8B8-0803-465B-94F6-7ABE8F6BA9B7}"/>
    <cellStyle name="20% - Accent3 2 2 2 3 2 2" xfId="3590" xr:uid="{AA2FC264-EDDA-4687-AFCA-9D129A320507}"/>
    <cellStyle name="20% - Accent3 2 2 2 3 2 2 2" xfId="7045" xr:uid="{CD773F4D-992F-4BBE-AC1D-525C07842B80}"/>
    <cellStyle name="20% - Accent3 2 2 2 3 2 3" xfId="5306" xr:uid="{E5880898-FC78-4219-AB2D-3058ABDB8A3A}"/>
    <cellStyle name="20% - Accent3 2 2 2 3 3" xfId="2743" xr:uid="{EE00CE42-1FB3-4E3F-95E8-F9A3C8B76464}"/>
    <cellStyle name="20% - Accent3 2 2 2 3 3 2" xfId="6176" xr:uid="{F5317CA8-7224-4454-8441-7AC842BCEC00}"/>
    <cellStyle name="20% - Accent3 2 2 2 3 4" xfId="4436" xr:uid="{2BF1A93C-290A-4616-8360-71BE7373E0FA}"/>
    <cellStyle name="20% - Accent3 2 2 2 4" xfId="1620" xr:uid="{380A3CB0-3B6E-49D6-AAEE-BC1F79B511D7}"/>
    <cellStyle name="20% - Accent3 2 2 2 4 2" xfId="3172" xr:uid="{E045B225-BB98-4E7F-993D-DA842BB34D9C}"/>
    <cellStyle name="20% - Accent3 2 2 2 4 2 2" xfId="6610" xr:uid="{40AFDBA3-92D3-4D0F-8EA0-60ABC8675DAE}"/>
    <cellStyle name="20% - Accent3 2 2 2 4 3" xfId="4871" xr:uid="{7D2D8FF3-B9B7-4C7A-8935-888C2F1D368C}"/>
    <cellStyle name="20% - Accent3 2 2 2 5" xfId="733" xr:uid="{88894D40-F082-4233-BC5A-6BAC848B5C90}"/>
    <cellStyle name="20% - Accent3 2 2 2 5 2" xfId="5741" xr:uid="{08DEEEDF-E170-4C38-B54F-482A44D43541}"/>
    <cellStyle name="20% - Accent3 2 2 2 6" xfId="4016" xr:uid="{1FA32D7F-F369-490C-89D3-2A0841F8A058}"/>
    <cellStyle name="20% - Accent3 2 2 3" xfId="400" xr:uid="{674E72D8-A232-4B63-9C42-41927B2C0B7E}"/>
    <cellStyle name="20% - Accent3 2 2 3 2" xfId="1260" xr:uid="{5E82A82D-6EA0-47F1-B8B4-BAA3B3C4E4C5}"/>
    <cellStyle name="20% - Accent3 2 2 3 2 2" xfId="2403" xr:uid="{4B7B7C14-56E3-4A58-AFA2-5B23C23D8502}"/>
    <cellStyle name="20% - Accent3 2 2 3 2 2 2" xfId="3702" xr:uid="{7CFFB112-CB33-47D0-8586-28046CECAE03}"/>
    <cellStyle name="20% - Accent3 2 2 3 2 2 2 2" xfId="7159" xr:uid="{F2D394AB-8921-4F53-9EAB-0B751D8F3E00}"/>
    <cellStyle name="20% - Accent3 2 2 3 2 2 3" xfId="5420" xr:uid="{FECFDC0F-8C42-4F0B-BEB2-B26DB0806769}"/>
    <cellStyle name="20% - Accent3 2 2 3 2 3" xfId="2855" xr:uid="{FB6A7EAB-8A2E-4C24-8A1D-379B0F5E795C}"/>
    <cellStyle name="20% - Accent3 2 2 3 2 3 2" xfId="6290" xr:uid="{3C521D52-058B-4A07-B72E-FF7ACB7297C3}"/>
    <cellStyle name="20% - Accent3 2 2 3 2 4" xfId="4550" xr:uid="{CB965234-1FC9-412E-B24C-3871D3C9620E}"/>
    <cellStyle name="20% - Accent3 2 2 3 3" xfId="1717" xr:uid="{92B691EE-A30E-4EC2-82BF-386951D3E476}"/>
    <cellStyle name="20% - Accent3 2 2 3 3 2" xfId="3282" xr:uid="{DDA0B0E0-BD58-4D7B-ADA7-67250BD0C4D6}"/>
    <cellStyle name="20% - Accent3 2 2 3 3 2 2" xfId="6724" xr:uid="{61C108AC-3F09-47D0-82E6-753717205F05}"/>
    <cellStyle name="20% - Accent3 2 2 3 3 3" xfId="4985" xr:uid="{BAFE6FEB-DEAB-48C1-BDA1-581C125FB079}"/>
    <cellStyle name="20% - Accent3 2 2 3 4" xfId="847" xr:uid="{80A2F375-3464-46CE-A443-880CDE4F90EC}"/>
    <cellStyle name="20% - Accent3 2 2 3 4 2" xfId="5855" xr:uid="{A3B3F8E3-16E0-44C1-94B9-340134A26665}"/>
    <cellStyle name="20% - Accent3 2 2 3 5" xfId="4124" xr:uid="{B78C08DC-BCA0-467E-861F-81E0B81EF26C}"/>
    <cellStyle name="20% - Accent3 2 2 4" xfId="1047" xr:uid="{CF865B29-672E-4428-926E-BCAC233D7730}"/>
    <cellStyle name="20% - Accent3 2 2 4 2" xfId="2220" xr:uid="{C91BC620-7D3C-4C05-8D65-82FF1911501C}"/>
    <cellStyle name="20% - Accent3 2 2 4 2 2" xfId="3493" xr:uid="{60B02CDC-4C4B-444B-8EB2-57E4F08E3791}"/>
    <cellStyle name="20% - Accent3 2 2 4 2 2 2" xfId="6945" xr:uid="{E88F3FA3-9C64-4BAE-8E33-CEEA99549A9C}"/>
    <cellStyle name="20% - Accent3 2 2 4 2 3" xfId="5206" xr:uid="{833165A8-0028-45B9-9782-3FF5A22DB616}"/>
    <cellStyle name="20% - Accent3 2 2 4 3" xfId="2650" xr:uid="{3111A8A6-0FBB-4FE5-A2A7-C4352AAF980A}"/>
    <cellStyle name="20% - Accent3 2 2 4 3 2" xfId="6076" xr:uid="{76183820-EA32-48BE-ABC2-66DD4695C5DA}"/>
    <cellStyle name="20% - Accent3 2 2 4 4" xfId="4337" xr:uid="{71B9CB5D-B9FD-4B2E-BDF4-29CEFA65EB4D}"/>
    <cellStyle name="20% - Accent3 2 2 5" xfId="1502" xr:uid="{A1F68C82-07BE-423C-891F-D62B81AFA161}"/>
    <cellStyle name="20% - Accent3 2 2 5 2" xfId="3076" xr:uid="{39B1A84D-464E-40DD-8B2F-3C1EB0F29017}"/>
    <cellStyle name="20% - Accent3 2 2 5 2 2" xfId="6511" xr:uid="{463811EF-BFC4-4202-B2C9-75DF43BD9814}"/>
    <cellStyle name="20% - Accent3 2 2 5 3" xfId="4771" xr:uid="{86778B6C-8316-4BC6-B9C0-02DA4BF96101}"/>
    <cellStyle name="20% - Accent3 2 2 6" xfId="633" xr:uid="{4A5DC428-E82A-42CB-90C7-48089A75F96C}"/>
    <cellStyle name="20% - Accent3 2 2 6 2" xfId="5641" xr:uid="{B393AA44-C4C3-46D1-9B1C-CD662A30B09A}"/>
    <cellStyle name="20% - Accent3 2 2 7" xfId="3925" xr:uid="{A7DBD844-95F4-4503-BE16-B5E3B504A772}"/>
    <cellStyle name="20% - Accent3 2 3" xfId="254" xr:uid="{9ED121C8-B7ED-4F3B-9783-2A38A7547841}"/>
    <cellStyle name="20% - Accent3 2 3 2" xfId="463" xr:uid="{F3D46F42-4395-4B87-933A-80E95785016D}"/>
    <cellStyle name="20% - Accent3 2 3 2 2" xfId="1323" xr:uid="{292D269D-103B-4FA8-BD5A-A5DBE71676E1}"/>
    <cellStyle name="20% - Accent3 2 3 2 2 2" xfId="2463" xr:uid="{72AD9074-F6DF-4C52-A460-41D3CA45F32F}"/>
    <cellStyle name="20% - Accent3 2 3 2 2 2 2" xfId="3765" xr:uid="{8B498166-B6C5-4856-A35A-F548E51D2A97}"/>
    <cellStyle name="20% - Accent3 2 3 2 2 2 2 2" xfId="7222" xr:uid="{909C0D77-FFA6-49E7-8A41-791E12909581}"/>
    <cellStyle name="20% - Accent3 2 3 2 2 2 3" xfId="5483" xr:uid="{9EDCF3DE-A073-4290-9167-493BE527BC30}"/>
    <cellStyle name="20% - Accent3 2 3 2 2 3" xfId="2918" xr:uid="{35E7466F-1B20-43DF-BCAF-4461F4F96CBE}"/>
    <cellStyle name="20% - Accent3 2 3 2 2 3 2" xfId="6353" xr:uid="{89B394D3-891D-4355-8CB0-DBA91A882909}"/>
    <cellStyle name="20% - Accent3 2 3 2 2 4" xfId="4613" xr:uid="{5F753D25-1240-4048-B3EC-C5F6A90375E6}"/>
    <cellStyle name="20% - Accent3 2 3 2 3" xfId="1780" xr:uid="{3DB5A8F0-E516-4D50-8335-E6C32AD65D61}"/>
    <cellStyle name="20% - Accent3 2 3 2 3 2" xfId="3342" xr:uid="{13D30F64-D21B-42F3-924B-2C8138D9EED8}"/>
    <cellStyle name="20% - Accent3 2 3 2 3 2 2" xfId="6787" xr:uid="{FC45A344-2786-4DC3-83BB-8C8C7B69349C}"/>
    <cellStyle name="20% - Accent3 2 3 2 3 3" xfId="5048" xr:uid="{7A2D341C-73F5-45B5-9D11-9B208D9C78BE}"/>
    <cellStyle name="20% - Accent3 2 3 2 4" xfId="910" xr:uid="{A34B5F76-3262-457D-A9B6-6B97FFD9E639}"/>
    <cellStyle name="20% - Accent3 2 3 2 4 2" xfId="5918" xr:uid="{E51F3039-ABEF-4258-A064-4EF2F0E6DBF1}"/>
    <cellStyle name="20% - Accent3 2 3 2 5" xfId="4184" xr:uid="{E7F3A141-7797-4827-86E1-2F6740A88C97}"/>
    <cellStyle name="20% - Accent3 2 3 3" xfId="1116" xr:uid="{5FB5D23E-7D61-4C5A-88D6-78EBC05E0897}"/>
    <cellStyle name="20% - Accent3 2 3 3 2" xfId="2275" xr:uid="{0B2E39FC-8326-4D94-AE20-E03BB2CF7F77}"/>
    <cellStyle name="20% - Accent3 2 3 3 2 2" xfId="3560" xr:uid="{08409FF6-AB54-4DC7-9CE3-135C1F0AC826}"/>
    <cellStyle name="20% - Accent3 2 3 3 2 2 2" xfId="7015" xr:uid="{86162DAF-ADA6-4A92-BE15-2FBF949C56F3}"/>
    <cellStyle name="20% - Accent3 2 3 3 2 3" xfId="5276" xr:uid="{717E93B1-DA1B-41CD-BED5-B0FD0E6A1E5F}"/>
    <cellStyle name="20% - Accent3 2 3 3 3" xfId="2713" xr:uid="{FC742152-98E6-471E-B64C-0E7C92AA8486}"/>
    <cellStyle name="20% - Accent3 2 3 3 3 2" xfId="6146" xr:uid="{4C2D69C7-5BE9-447D-9757-E0858CAA5EB9}"/>
    <cellStyle name="20% - Accent3 2 3 3 4" xfId="4406" xr:uid="{66DC3522-1451-4BF2-9F2F-9F764E6EF7BD}"/>
    <cellStyle name="20% - Accent3 2 3 4" xfId="1590" xr:uid="{6393681B-8959-4B2D-8DB6-7FF0787BF7F7}"/>
    <cellStyle name="20% - Accent3 2 3 4 2" xfId="3144" xr:uid="{D7CE5D74-1189-4EDB-AD41-E8DA545DC4B4}"/>
    <cellStyle name="20% - Accent3 2 3 4 2 2" xfId="6580" xr:uid="{0D9F3F60-F97F-4EE1-B362-72CD6C6FA9F2}"/>
    <cellStyle name="20% - Accent3 2 3 4 3" xfId="4841" xr:uid="{08853704-57A0-4597-8AE3-DDEF4DB2FC32}"/>
    <cellStyle name="20% - Accent3 2 3 5" xfId="703" xr:uid="{649FC0D9-3629-49CA-B24A-926B7CD4F89F}"/>
    <cellStyle name="20% - Accent3 2 3 5 2" xfId="5711" xr:uid="{176E73C6-971F-4437-AFE0-2C2CCCF56688}"/>
    <cellStyle name="20% - Accent3 2 3 6" xfId="3988" xr:uid="{923A4310-9977-4F74-BD27-D1379CD7C2D7}"/>
    <cellStyle name="20% - Accent3 2 4" xfId="368" xr:uid="{92B6F7B4-AC18-4423-9273-BC037540A6FC}"/>
    <cellStyle name="20% - Accent3 2 4 2" xfId="1230" xr:uid="{5787596A-9AF2-4AD5-AF3F-D4CB0897AFA5}"/>
    <cellStyle name="20% - Accent3 2 4 2 2" xfId="2375" xr:uid="{87817997-0D54-42A8-9091-4FAFD5C2D8C6}"/>
    <cellStyle name="20% - Accent3 2 4 2 2 2" xfId="3672" xr:uid="{6576F57F-F730-4261-BD10-A6D0996F120F}"/>
    <cellStyle name="20% - Accent3 2 4 2 2 2 2" xfId="7129" xr:uid="{F8D2EF9A-C207-4ED9-A1E5-E414595AAB5F}"/>
    <cellStyle name="20% - Accent3 2 4 2 2 3" xfId="5390" xr:uid="{60914A5A-FD75-4086-BBC4-A3F56C418D93}"/>
    <cellStyle name="20% - Accent3 2 4 2 3" xfId="2825" xr:uid="{2734D0D4-DD25-48BD-9537-B9A456C9D36C}"/>
    <cellStyle name="20% - Accent3 2 4 2 3 2" xfId="6260" xr:uid="{DD15670B-C0BD-478F-BB03-D1543A652750}"/>
    <cellStyle name="20% - Accent3 2 4 2 4" xfId="4520" xr:uid="{576F7083-B862-449C-AA3B-32623EEBC574}"/>
    <cellStyle name="20% - Accent3 2 4 3" xfId="1686" xr:uid="{591CA975-72A0-400F-A1DF-D84AB2560654}"/>
    <cellStyle name="20% - Accent3 2 4 3 2" xfId="3254" xr:uid="{277D5FC6-64DB-45BA-B1A2-AC02EA93A318}"/>
    <cellStyle name="20% - Accent3 2 4 3 2 2" xfId="6694" xr:uid="{9B7ED854-CD60-45AC-905B-DECF4F3FFCA8}"/>
    <cellStyle name="20% - Accent3 2 4 3 3" xfId="4955" xr:uid="{625A9303-9462-4C2E-A3E4-A22659700021}"/>
    <cellStyle name="20% - Accent3 2 4 4" xfId="817" xr:uid="{409D3F1A-9BFC-4A1B-8CDC-DF7805D5AE30}"/>
    <cellStyle name="20% - Accent3 2 4 4 2" xfId="5825" xr:uid="{8C7A914E-94C2-4B12-815A-59795EECA5A8}"/>
    <cellStyle name="20% - Accent3 2 4 5" xfId="4096" xr:uid="{B6DC0DC7-D299-4AB8-85F6-A46A9CA99BEA}"/>
    <cellStyle name="20% - Accent3 2 5" xfId="1017" xr:uid="{5348B844-813E-49C2-9B0E-05034D5BD9C1}"/>
    <cellStyle name="20% - Accent3 2 5 2" xfId="2192" xr:uid="{A57C82EE-2E46-40D7-B782-A066F2AFCB8F}"/>
    <cellStyle name="20% - Accent3 2 5 2 2" xfId="3465" xr:uid="{76F94668-F0B7-4F82-BF36-4B61746B8D33}"/>
    <cellStyle name="20% - Accent3 2 5 2 2 2" xfId="6915" xr:uid="{2BBE88C0-2079-4ED4-850F-06EC9CC22621}"/>
    <cellStyle name="20% - Accent3 2 5 2 3" xfId="5176" xr:uid="{29E93BA4-20F0-4A48-A474-BC4799004C35}"/>
    <cellStyle name="20% - Accent3 2 5 3" xfId="2622" xr:uid="{6977C0A2-2640-4951-9EC2-B46641876FE7}"/>
    <cellStyle name="20% - Accent3 2 5 3 2" xfId="6046" xr:uid="{7AF1985E-5647-466B-909E-473CF730BF39}"/>
    <cellStyle name="20% - Accent3 2 5 4" xfId="4307" xr:uid="{F265B949-53CC-4B31-89C0-43FE8440D83B}"/>
    <cellStyle name="20% - Accent3 2 6" xfId="1471" xr:uid="{C6D124C7-8722-441B-BD7B-EF6CC9A415D7}"/>
    <cellStyle name="20% - Accent3 2 6 2" xfId="3046" xr:uid="{AAD3477E-E4BA-402D-A877-179B45B8E6B5}"/>
    <cellStyle name="20% - Accent3 2 6 2 2" xfId="6481" xr:uid="{78BEE310-F19D-4616-A1DC-607C83B4E2EB}"/>
    <cellStyle name="20% - Accent3 2 6 3" xfId="4741" xr:uid="{FD78D9D4-BEB4-433C-8576-DDF1CF363C7D}"/>
    <cellStyle name="20% - Accent3 2 7" xfId="603" xr:uid="{B3047522-15D2-4DAA-9A94-0F234BE86F3C}"/>
    <cellStyle name="20% - Accent3 2 7 2" xfId="5611" xr:uid="{82C72734-DE82-4628-9077-6174750BE36A}"/>
    <cellStyle name="20% - Accent3 2 8" xfId="3897" xr:uid="{9DEB49AE-3A94-4C26-808D-99B0B591D7E0}"/>
    <cellStyle name="20% - Accent3 3" xfId="172" xr:uid="{F18C98AE-184A-467E-A8D8-4C533AF6358A}"/>
    <cellStyle name="20% - Accent3 3 2" xfId="269" xr:uid="{A4F8A9C2-65D9-452C-A746-195675D17438}"/>
    <cellStyle name="20% - Accent3 3 2 2" xfId="478" xr:uid="{7F057B28-FC7E-4406-8DFB-CD7C11F0EA64}"/>
    <cellStyle name="20% - Accent3 3 2 2 2" xfId="1338" xr:uid="{D3A2CFE5-40F3-4765-9914-48C1B5C32FDB}"/>
    <cellStyle name="20% - Accent3 3 2 2 2 2" xfId="2477" xr:uid="{AD5271BE-ACE0-45E1-AD1C-D2FAB508FC37}"/>
    <cellStyle name="20% - Accent3 3 2 2 2 2 2" xfId="3780" xr:uid="{C8BFB50D-19A3-4CE0-AF2A-F6314FD4E9F6}"/>
    <cellStyle name="20% - Accent3 3 2 2 2 2 2 2" xfId="7237" xr:uid="{3F128E08-A798-473B-A1C6-B9DF3B093250}"/>
    <cellStyle name="20% - Accent3 3 2 2 2 2 3" xfId="5498" xr:uid="{A87D636A-CC65-449D-BF9A-35FEDD89F648}"/>
    <cellStyle name="20% - Accent3 3 2 2 2 3" xfId="2933" xr:uid="{ADC4D2F7-00B9-4839-8E4A-76D9527709EB}"/>
    <cellStyle name="20% - Accent3 3 2 2 2 3 2" xfId="6368" xr:uid="{43010A82-0121-47FF-B04F-25566ADAE639}"/>
    <cellStyle name="20% - Accent3 3 2 2 2 4" xfId="4628" xr:uid="{27993AAF-2D25-4DD6-AD59-8B5B1CFC9E06}"/>
    <cellStyle name="20% - Accent3 3 2 2 3" xfId="1795" xr:uid="{5A58697A-F27E-41BB-8F33-2413B40B9523}"/>
    <cellStyle name="20% - Accent3 3 2 2 3 2" xfId="3356" xr:uid="{342EC4E2-4EEA-42B8-B216-7FE56242FEFF}"/>
    <cellStyle name="20% - Accent3 3 2 2 3 2 2" xfId="6802" xr:uid="{23F07E0B-41DC-4046-98C1-0AC7613A5953}"/>
    <cellStyle name="20% - Accent3 3 2 2 3 3" xfId="5063" xr:uid="{4148C3D9-2A69-4BFA-B224-BF41E8CE8DDE}"/>
    <cellStyle name="20% - Accent3 3 2 2 4" xfId="925" xr:uid="{DBC85DA4-EEF3-4C27-878F-1B044536F1E8}"/>
    <cellStyle name="20% - Accent3 3 2 2 4 2" xfId="5933" xr:uid="{BE55F2FA-BA4B-4B2B-AB3E-EEFB36C1B386}"/>
    <cellStyle name="20% - Accent3 3 2 2 5" xfId="4198" xr:uid="{724BE9F4-08D9-485D-80D3-C7F780F8BFE0}"/>
    <cellStyle name="20% - Accent3 3 2 3" xfId="1131" xr:uid="{7FD4393D-B396-4075-85FE-1DCF357F4629}"/>
    <cellStyle name="20% - Accent3 3 2 3 2" xfId="2289" xr:uid="{AF86C8C6-C65F-4377-ACD2-6B338A8F3AD2}"/>
    <cellStyle name="20% - Accent3 3 2 3 2 2" xfId="3575" xr:uid="{5865D2FE-58C4-42FF-9C1B-1EFDA2F381FB}"/>
    <cellStyle name="20% - Accent3 3 2 3 2 2 2" xfId="7030" xr:uid="{21CE4BFD-AA69-4F0E-9061-FFBD498F0F10}"/>
    <cellStyle name="20% - Accent3 3 2 3 2 3" xfId="5291" xr:uid="{1049309C-4012-4BB6-8ADC-FA646F9427FD}"/>
    <cellStyle name="20% - Accent3 3 2 3 3" xfId="2728" xr:uid="{8A2D31BE-753A-4A83-95F3-6133D40A34A3}"/>
    <cellStyle name="20% - Accent3 3 2 3 3 2" xfId="6161" xr:uid="{6E1C96B8-BEF0-479A-8083-646A1F22848B}"/>
    <cellStyle name="20% - Accent3 3 2 3 4" xfId="4421" xr:uid="{030AE8F9-CE54-4FA8-9321-46847D44F641}"/>
    <cellStyle name="20% - Accent3 3 2 4" xfId="1605" xr:uid="{BB9C32C5-6193-44B2-8388-293B178C6442}"/>
    <cellStyle name="20% - Accent3 3 2 4 2" xfId="3158" xr:uid="{C4C1C72B-2F76-4B79-BA53-E9595565E937}"/>
    <cellStyle name="20% - Accent3 3 2 4 2 2" xfId="6595" xr:uid="{B24156BF-C73F-4BA2-A645-4CF276CAEBD9}"/>
    <cellStyle name="20% - Accent3 3 2 4 3" xfId="4856" xr:uid="{DDC19BAA-D0D1-45AE-8CC9-02DE7E2AA85D}"/>
    <cellStyle name="20% - Accent3 3 2 5" xfId="718" xr:uid="{958249EA-F917-4168-AB57-84E450743473}"/>
    <cellStyle name="20% - Accent3 3 2 5 2" xfId="5726" xr:uid="{EAE39F39-C407-4A37-9A30-6CA1C74EF5FF}"/>
    <cellStyle name="20% - Accent3 3 2 6" xfId="4002" xr:uid="{9FE35547-9408-45F6-8FDC-9CC94172A2D1}"/>
    <cellStyle name="20% - Accent3 3 3" xfId="385" xr:uid="{587D05C2-5951-48DD-AAB7-DE06EBF51BE1}"/>
    <cellStyle name="20% - Accent3 3 3 2" xfId="1245" xr:uid="{7D89B92A-5AEC-4457-845D-ACB8807DBF2B}"/>
    <cellStyle name="20% - Accent3 3 3 2 2" xfId="2389" xr:uid="{C0EC8A3F-B5A3-484F-9E5F-5963AAA6A1AD}"/>
    <cellStyle name="20% - Accent3 3 3 2 2 2" xfId="3687" xr:uid="{830E74E1-DF3A-4A03-B1F2-2BFD214AF940}"/>
    <cellStyle name="20% - Accent3 3 3 2 2 2 2" xfId="7144" xr:uid="{3BD342D0-D874-4E3B-9349-E672B34F9214}"/>
    <cellStyle name="20% - Accent3 3 3 2 2 3" xfId="5405" xr:uid="{9B341527-E1C4-41CE-B06E-06E90F09F9C7}"/>
    <cellStyle name="20% - Accent3 3 3 2 3" xfId="2840" xr:uid="{FABAAC9A-AB45-4217-B201-22D016FB01FB}"/>
    <cellStyle name="20% - Accent3 3 3 2 3 2" xfId="6275" xr:uid="{C086EC41-757C-419D-8A20-ECE29579ACB4}"/>
    <cellStyle name="20% - Accent3 3 3 2 4" xfId="4535" xr:uid="{A3059102-F223-475E-8E21-C98436C083E8}"/>
    <cellStyle name="20% - Accent3 3 3 3" xfId="1702" xr:uid="{0676B571-6905-4FE5-B25E-8F585EB76A78}"/>
    <cellStyle name="20% - Accent3 3 3 3 2" xfId="3268" xr:uid="{168E4060-AB26-4F5F-884B-D342D8CA46AB}"/>
    <cellStyle name="20% - Accent3 3 3 3 2 2" xfId="6709" xr:uid="{E08826B6-C7C1-4A77-B337-BC47454D2AB7}"/>
    <cellStyle name="20% - Accent3 3 3 3 3" xfId="4970" xr:uid="{1B35AD6E-FEBA-49BB-B919-53D54C12A9A3}"/>
    <cellStyle name="20% - Accent3 3 3 4" xfId="832" xr:uid="{CA24C7D6-15E3-444F-BBBB-9EB40759E4A4}"/>
    <cellStyle name="20% - Accent3 3 3 4 2" xfId="5840" xr:uid="{B9EAFA58-CCCD-448D-87DA-E0A130431A87}"/>
    <cellStyle name="20% - Accent3 3 3 5" xfId="4110" xr:uid="{D4C7D31B-C613-4C94-9914-A18D619D0755}"/>
    <cellStyle name="20% - Accent3 3 4" xfId="1032" xr:uid="{6D3A7C30-6FE6-4ED6-8AF9-8B31C7CA3AAB}"/>
    <cellStyle name="20% - Accent3 3 4 2" xfId="2206" xr:uid="{7911E43A-C0A6-416B-BAB2-5B7E582AC0C9}"/>
    <cellStyle name="20% - Accent3 3 4 2 2" xfId="3479" xr:uid="{73D3EC75-4C81-4BD4-A040-6E03DA39B24C}"/>
    <cellStyle name="20% - Accent3 3 4 2 2 2" xfId="6930" xr:uid="{4826A791-BB06-4174-B321-D3B6F98E5A7F}"/>
    <cellStyle name="20% - Accent3 3 4 2 3" xfId="5191" xr:uid="{6F218CC4-9D4A-4232-BE1E-FBEE093D38ED}"/>
    <cellStyle name="20% - Accent3 3 4 3" xfId="2636" xr:uid="{DBBA1123-55E8-4136-9072-DA639C163AE4}"/>
    <cellStyle name="20% - Accent3 3 4 3 2" xfId="6061" xr:uid="{C1503402-23AA-4030-89A2-DF1314E15685}"/>
    <cellStyle name="20% - Accent3 3 4 4" xfId="4322" xr:uid="{EB5FF4B7-C9B5-4AC6-803A-BEA01730872A}"/>
    <cellStyle name="20% - Accent3 3 5" xfId="1487" xr:uid="{8F04E04B-76E9-41F2-A759-2894C251285B}"/>
    <cellStyle name="20% - Accent3 3 5 2" xfId="3061" xr:uid="{06859D82-56ED-4A2A-A76E-60881B91EC15}"/>
    <cellStyle name="20% - Accent3 3 5 2 2" xfId="6496" xr:uid="{42213741-8391-480D-A7D5-38F355B3E44A}"/>
    <cellStyle name="20% - Accent3 3 5 3" xfId="4756" xr:uid="{0272A0AB-12BB-459D-8D64-79B0A78FD661}"/>
    <cellStyle name="20% - Accent3 3 6" xfId="618" xr:uid="{CB285056-4FCE-436C-BC18-76B09458EF7F}"/>
    <cellStyle name="20% - Accent3 3 6 2" xfId="5626" xr:uid="{C1F6BA5A-FDD2-4A86-B14F-CE7A78530502}"/>
    <cellStyle name="20% - Accent3 3 7" xfId="3911" xr:uid="{949B13AE-C2F1-4532-9C84-4026E6929A01}"/>
    <cellStyle name="20% - Accent3 4" xfId="239" xr:uid="{E1F19881-02BE-4570-8ECC-99FFEEC8CD70}"/>
    <cellStyle name="20% - Accent3 4 2" xfId="448" xr:uid="{C32D63A6-D47B-433A-A095-750A65C8F1A6}"/>
    <cellStyle name="20% - Accent3 4 2 2" xfId="1308" xr:uid="{E7FD5EE8-C894-4CBA-A1A4-C76162029A21}"/>
    <cellStyle name="20% - Accent3 4 2 2 2" xfId="2449" xr:uid="{004D19F0-5483-47CF-9539-D2227833E554}"/>
    <cellStyle name="20% - Accent3 4 2 2 2 2" xfId="3750" xr:uid="{AB91E14E-FB0F-4353-8C16-093F9227E138}"/>
    <cellStyle name="20% - Accent3 4 2 2 2 2 2" xfId="7207" xr:uid="{4020F1ED-59E6-45B0-844A-F819C012F5AF}"/>
    <cellStyle name="20% - Accent3 4 2 2 2 3" xfId="5468" xr:uid="{010E52B3-8B24-4118-8BD3-E85F72767E64}"/>
    <cellStyle name="20% - Accent3 4 2 2 3" xfId="2903" xr:uid="{5C72E424-D210-4980-A252-072C6C87F619}"/>
    <cellStyle name="20% - Accent3 4 2 2 3 2" xfId="6338" xr:uid="{9773E456-C1E9-468C-BDA3-E50810BEDD47}"/>
    <cellStyle name="20% - Accent3 4 2 2 4" xfId="4598" xr:uid="{4B7B8707-DCB5-48FD-9D46-178FFBFF12A1}"/>
    <cellStyle name="20% - Accent3 4 2 3" xfId="1765" xr:uid="{73210694-7CB3-4B87-9674-32E3F31B7450}"/>
    <cellStyle name="20% - Accent3 4 2 3 2" xfId="3328" xr:uid="{386865A8-23B2-4A42-A851-734DAE6D1F77}"/>
    <cellStyle name="20% - Accent3 4 2 3 2 2" xfId="6772" xr:uid="{FC8B3E54-A3A5-4274-9329-FD5165B6FC52}"/>
    <cellStyle name="20% - Accent3 4 2 3 3" xfId="5033" xr:uid="{5034A6AB-0827-4B2F-A25B-0EBBECD1CC21}"/>
    <cellStyle name="20% - Accent3 4 2 4" xfId="895" xr:uid="{ADD90DCC-87E2-44F0-8120-D93A47C9C349}"/>
    <cellStyle name="20% - Accent3 4 2 4 2" xfId="5903" xr:uid="{CC3B089A-824D-47D4-A409-14D3C204C138}"/>
    <cellStyle name="20% - Accent3 4 2 5" xfId="4170" xr:uid="{001898FB-9E19-4DB8-8792-F854D0558DAA}"/>
    <cellStyle name="20% - Accent3 4 3" xfId="1101" xr:uid="{3356235D-7D3A-4920-A211-1CF9535C3036}"/>
    <cellStyle name="20% - Accent3 4 3 2" xfId="2261" xr:uid="{6C02E38D-08C3-4B73-8372-9F4865BC072B}"/>
    <cellStyle name="20% - Accent3 4 3 2 2" xfId="3546" xr:uid="{99BEB095-654D-4286-99FA-E52A5546614A}"/>
    <cellStyle name="20% - Accent3 4 3 2 2 2" xfId="7000" xr:uid="{DBC76087-B616-4EF4-A7FB-1C081E496047}"/>
    <cellStyle name="20% - Accent3 4 3 2 3" xfId="5261" xr:uid="{8C99BA6E-7084-460B-897C-129EE7C03FB3}"/>
    <cellStyle name="20% - Accent3 4 3 3" xfId="2699" xr:uid="{13A8DA4A-FD09-4F7B-A5B0-B13EA33588AD}"/>
    <cellStyle name="20% - Accent3 4 3 3 2" xfId="6131" xr:uid="{A766B8BB-1FC0-43EC-8C81-2ED363D88657}"/>
    <cellStyle name="20% - Accent3 4 3 4" xfId="4391" xr:uid="{97A09E99-7911-4259-91A0-26474D6CF32B}"/>
    <cellStyle name="20% - Accent3 4 4" xfId="1575" xr:uid="{64144E77-CCC0-41F8-80AF-5CC75E5A5062}"/>
    <cellStyle name="20% - Accent3 4 4 2" xfId="3129" xr:uid="{A8C3D810-4B39-4926-AF0B-FA183530A4FA}"/>
    <cellStyle name="20% - Accent3 4 4 2 2" xfId="6565" xr:uid="{558BA267-B09C-48CA-A7AB-7EB8CC7EB402}"/>
    <cellStyle name="20% - Accent3 4 4 3" xfId="4826" xr:uid="{30F0E427-130B-47A4-AA48-9924894EF549}"/>
    <cellStyle name="20% - Accent3 4 5" xfId="688" xr:uid="{EB551913-B1A8-4DA3-A4F1-76AE40403148}"/>
    <cellStyle name="20% - Accent3 4 5 2" xfId="5696" xr:uid="{97BBBD61-587C-4443-872D-D98CD0B19150}"/>
    <cellStyle name="20% - Accent3 4 6" xfId="3974" xr:uid="{BFE2C0A5-43A2-45A5-BCA9-933DFF02337F}"/>
    <cellStyle name="20% - Accent3 5" xfId="350" xr:uid="{705E11F5-EA6B-4C01-9DA5-E6F192BFA3B5}"/>
    <cellStyle name="20% - Accent3 5 2" xfId="1215" xr:uid="{E6F38566-ADFD-49AA-926F-0161979961D7}"/>
    <cellStyle name="20% - Accent3 5 2 2" xfId="2361" xr:uid="{4BA15963-DD03-4431-A29A-084088A0CE97}"/>
    <cellStyle name="20% - Accent3 5 2 2 2" xfId="3658" xr:uid="{D3596247-FE42-416A-9067-7AF58160ED90}"/>
    <cellStyle name="20% - Accent3 5 2 2 2 2" xfId="7114" xr:uid="{D0E23FBC-EAF0-4646-913D-CEB6E208F4A4}"/>
    <cellStyle name="20% - Accent3 5 2 2 3" xfId="5375" xr:uid="{3AA849A4-6C1C-4E05-8D7C-C5E28D0F23C0}"/>
    <cellStyle name="20% - Accent3 5 2 3" xfId="2811" xr:uid="{90725563-8D79-4250-881C-4E98FC31B2DB}"/>
    <cellStyle name="20% - Accent3 5 2 3 2" xfId="6245" xr:uid="{61579C7E-A46B-42DF-8975-2B5EC39A81E3}"/>
    <cellStyle name="20% - Accent3 5 2 4" xfId="4505" xr:uid="{A1BC1410-5B05-424C-9655-97B5CB61C83D}"/>
    <cellStyle name="20% - Accent3 5 3" xfId="1669" xr:uid="{047A75CE-02C6-4C79-B3B0-34A4DB92BF5C}"/>
    <cellStyle name="20% - Accent3 5 3 2" xfId="3239" xr:uid="{3B0EF8C3-493F-4FF2-BA21-984441BBA629}"/>
    <cellStyle name="20% - Accent3 5 3 2 2" xfId="6679" xr:uid="{9379BDEC-E87A-4D7A-AE30-896CD4F75DB9}"/>
    <cellStyle name="20% - Accent3 5 3 3" xfId="4940" xr:uid="{D1CF7B5E-2E99-443F-A16F-1AF593664DAB}"/>
    <cellStyle name="20% - Accent3 5 4" xfId="802" xr:uid="{6EADA511-E082-42C9-A1A4-561573413E69}"/>
    <cellStyle name="20% - Accent3 5 4 2" xfId="5810" xr:uid="{377552C3-96B4-4D55-9ECB-0ABF23FE756A}"/>
    <cellStyle name="20% - Accent3 5 5" xfId="4082" xr:uid="{122BC186-AA21-4C5B-80FC-6A13C1F687E5}"/>
    <cellStyle name="20% - Accent3 6" xfId="1002" xr:uid="{FD44E50C-6F5E-4012-A623-CFDFCB92590D}"/>
    <cellStyle name="20% - Accent3 6 2" xfId="2178" xr:uid="{4C7C1563-6EE3-4E21-9B53-CF6C5DC8A3DA}"/>
    <cellStyle name="20% - Accent3 6 2 2" xfId="3451" xr:uid="{3395DD87-FC00-4FEC-A823-93E939C7E73E}"/>
    <cellStyle name="20% - Accent3 6 2 2 2" xfId="6900" xr:uid="{20658307-A988-4399-B870-80BB3F5B9E24}"/>
    <cellStyle name="20% - Accent3 6 2 3" xfId="5161" xr:uid="{163B80C7-45AD-4664-97D1-34C9A5F806E6}"/>
    <cellStyle name="20% - Accent3 6 3" xfId="2608" xr:uid="{FCB9AA5E-5C6F-45B1-8CD6-0855EF5AE0C5}"/>
    <cellStyle name="20% - Accent3 6 3 2" xfId="6031" xr:uid="{C0726C17-42FD-4D67-85BE-8E2A10E5F4A7}"/>
    <cellStyle name="20% - Accent3 6 4" xfId="4293" xr:uid="{74C60830-C7BA-4114-B868-5ECFE5CACF35}"/>
    <cellStyle name="20% - Accent3 7" xfId="1451" xr:uid="{C055BA33-8B08-4DE7-8199-B45B5A7E20D9}"/>
    <cellStyle name="20% - Accent3 7 2" xfId="3031" xr:uid="{7EFC2AB0-C363-4256-84F0-511730E67E85}"/>
    <cellStyle name="20% - Accent3 7 2 2" xfId="6466" xr:uid="{F0FE56E6-D39A-4788-AB5C-5F2DFBD4E96D}"/>
    <cellStyle name="20% - Accent3 7 3" xfId="4726" xr:uid="{6667D8E8-ACB0-48FD-B8A4-16BC39713A88}"/>
    <cellStyle name="20% - Accent3 8" xfId="588" xr:uid="{2C859886-CA9A-4F43-AF11-925351F99D2B}"/>
    <cellStyle name="20% - Accent3 8 2" xfId="5596" xr:uid="{98DCBE74-F4B3-4EA5-B5DB-DDC81B09BED5}"/>
    <cellStyle name="20% - Accent3 9" xfId="3883" xr:uid="{672135AB-5CFA-4FDA-89A6-1C53703BC1F4}"/>
    <cellStyle name="20% - Accent4" xfId="88" builtinId="42" customBuiltin="1"/>
    <cellStyle name="20% - Accent4 2" xfId="155" xr:uid="{40156E2F-2D53-4B63-8EE7-10DBE512C7D0}"/>
    <cellStyle name="20% - Accent4 2 2" xfId="189" xr:uid="{3CFB390B-3290-42DB-A5F6-06A9B72581CF}"/>
    <cellStyle name="20% - Accent4 2 2 2" xfId="286" xr:uid="{448952D8-9B4B-4B55-886C-0FC4F49F35F3}"/>
    <cellStyle name="20% - Accent4 2 2 2 2" xfId="495" xr:uid="{5C104B43-25EC-4AF3-906E-E951DE7F9939}"/>
    <cellStyle name="20% - Accent4 2 2 2 2 2" xfId="1355" xr:uid="{1307EBAC-856B-44D4-9481-46C44DA88F9A}"/>
    <cellStyle name="20% - Accent4 2 2 2 2 2 2" xfId="2493" xr:uid="{9B784581-D991-4AAF-BEB7-6F52735080B8}"/>
    <cellStyle name="20% - Accent4 2 2 2 2 2 2 2" xfId="3797" xr:uid="{6D223798-4960-4BDB-AD47-9F13D3533A42}"/>
    <cellStyle name="20% - Accent4 2 2 2 2 2 2 2 2" xfId="7254" xr:uid="{A666FEB8-58FF-4863-9731-7499F1677984}"/>
    <cellStyle name="20% - Accent4 2 2 2 2 2 2 3" xfId="5515" xr:uid="{DFA42176-E223-46FB-90D5-592EE962C099}"/>
    <cellStyle name="20% - Accent4 2 2 2 2 2 3" xfId="2950" xr:uid="{29FE7C71-087C-440D-973A-F4FC7FB3D14C}"/>
    <cellStyle name="20% - Accent4 2 2 2 2 2 3 2" xfId="6385" xr:uid="{8EBF30B7-E1EC-4FBC-BFF3-C05B991A8B9E}"/>
    <cellStyle name="20% - Accent4 2 2 2 2 2 4" xfId="4645" xr:uid="{C59B427E-BC48-40F1-8986-BA0E6A56CB18}"/>
    <cellStyle name="20% - Accent4 2 2 2 2 3" xfId="1812" xr:uid="{B68797E4-FDA2-4DF7-84C0-09DA53EAC425}"/>
    <cellStyle name="20% - Accent4 2 2 2 2 3 2" xfId="3372" xr:uid="{DD75C867-8610-4D52-9851-8F9BB37B2F7D}"/>
    <cellStyle name="20% - Accent4 2 2 2 2 3 2 2" xfId="6819" xr:uid="{D96D7E1B-C620-4A38-8409-482677B4065C}"/>
    <cellStyle name="20% - Accent4 2 2 2 2 3 3" xfId="5080" xr:uid="{DA4740BA-0C26-40FE-BCF5-379F2ECC5BFE}"/>
    <cellStyle name="20% - Accent4 2 2 2 2 4" xfId="942" xr:uid="{18E59038-D41F-40D2-A166-D31F479D7E21}"/>
    <cellStyle name="20% - Accent4 2 2 2 2 4 2" xfId="5950" xr:uid="{F59420BF-555E-412F-B4D1-FD1D0A361BC9}"/>
    <cellStyle name="20% - Accent4 2 2 2 2 5" xfId="4214" xr:uid="{7DE5C8FA-38EA-4295-A523-6872DC7FAC10}"/>
    <cellStyle name="20% - Accent4 2 2 2 3" xfId="1148" xr:uid="{BF9E964C-9A35-46E8-A707-CBF234E90584}"/>
    <cellStyle name="20% - Accent4 2 2 2 3 2" xfId="2305" xr:uid="{906FFE70-6ADC-4744-A6AD-7DEC5853F917}"/>
    <cellStyle name="20% - Accent4 2 2 2 3 2 2" xfId="3592" xr:uid="{54FE6ECA-0B35-47E9-9FFB-0F105DAC889E}"/>
    <cellStyle name="20% - Accent4 2 2 2 3 2 2 2" xfId="7047" xr:uid="{08D6FE02-B984-4FC0-BF5C-305F3481789E}"/>
    <cellStyle name="20% - Accent4 2 2 2 3 2 3" xfId="5308" xr:uid="{6B9CF6B3-6BC1-4E4E-AE9A-585DEEFB98E3}"/>
    <cellStyle name="20% - Accent4 2 2 2 3 3" xfId="2745" xr:uid="{0AEAF329-92E2-460D-A97A-9F224E530332}"/>
    <cellStyle name="20% - Accent4 2 2 2 3 3 2" xfId="6178" xr:uid="{8C548FB7-2CB9-4FBC-A195-00300D90978F}"/>
    <cellStyle name="20% - Accent4 2 2 2 3 4" xfId="4438" xr:uid="{1D180652-E500-469B-ABE3-46F675795E32}"/>
    <cellStyle name="20% - Accent4 2 2 2 4" xfId="1622" xr:uid="{81181B6C-897B-4331-A55C-2BEEB7312F18}"/>
    <cellStyle name="20% - Accent4 2 2 2 4 2" xfId="3174" xr:uid="{9B8571E2-1BA7-491A-B0B8-4375C4EE4135}"/>
    <cellStyle name="20% - Accent4 2 2 2 4 2 2" xfId="6612" xr:uid="{4F8FAE1D-632A-40C7-A626-E37436C274E9}"/>
    <cellStyle name="20% - Accent4 2 2 2 4 3" xfId="4873" xr:uid="{9FD69320-DD47-4A2D-B2AF-CF61DD672CE2}"/>
    <cellStyle name="20% - Accent4 2 2 2 5" xfId="735" xr:uid="{FDF8E65E-A61C-4414-BFD0-27F65BDCE343}"/>
    <cellStyle name="20% - Accent4 2 2 2 5 2" xfId="5743" xr:uid="{08C02B34-2146-48C8-8825-593BE3E53103}"/>
    <cellStyle name="20% - Accent4 2 2 2 6" xfId="4018" xr:uid="{840EEF5D-BEA1-443F-9398-A0F4AD391142}"/>
    <cellStyle name="20% - Accent4 2 2 3" xfId="402" xr:uid="{7D6D1431-C597-4C3C-900A-E62C862CE3E5}"/>
    <cellStyle name="20% - Accent4 2 2 3 2" xfId="1262" xr:uid="{C96C3366-71FF-4B5B-B184-A97F79810466}"/>
    <cellStyle name="20% - Accent4 2 2 3 2 2" xfId="2405" xr:uid="{50F95323-C8E0-4530-800D-C4455AC3D87B}"/>
    <cellStyle name="20% - Accent4 2 2 3 2 2 2" xfId="3704" xr:uid="{B9CAEC5B-56EA-425D-B5E9-0475145D7940}"/>
    <cellStyle name="20% - Accent4 2 2 3 2 2 2 2" xfId="7161" xr:uid="{6897DD5C-D6A3-4D01-9440-A4A4B473C32E}"/>
    <cellStyle name="20% - Accent4 2 2 3 2 2 3" xfId="5422" xr:uid="{618624BB-D40F-4FA1-A7D5-F07755FCB2E0}"/>
    <cellStyle name="20% - Accent4 2 2 3 2 3" xfId="2857" xr:uid="{D92AF91E-671B-48A9-A2FB-9EEB2480AE38}"/>
    <cellStyle name="20% - Accent4 2 2 3 2 3 2" xfId="6292" xr:uid="{F78EB9D9-5F0A-4FF3-B157-DD9BF3ECF73A}"/>
    <cellStyle name="20% - Accent4 2 2 3 2 4" xfId="4552" xr:uid="{53B6107D-F09D-43EC-A071-DABB795F9C45}"/>
    <cellStyle name="20% - Accent4 2 2 3 3" xfId="1719" xr:uid="{D1887023-B90D-492D-92EC-232785A663B9}"/>
    <cellStyle name="20% - Accent4 2 2 3 3 2" xfId="3284" xr:uid="{01E34642-FE5D-441C-8FA5-ED0B8E25D905}"/>
    <cellStyle name="20% - Accent4 2 2 3 3 2 2" xfId="6726" xr:uid="{1B12B9B5-58F7-4676-9B67-E3BDEDEDDE31}"/>
    <cellStyle name="20% - Accent4 2 2 3 3 3" xfId="4987" xr:uid="{4420A56F-858C-4008-821A-4658B9333372}"/>
    <cellStyle name="20% - Accent4 2 2 3 4" xfId="849" xr:uid="{1F649EB1-E520-49D8-81F9-A0DC59D5F003}"/>
    <cellStyle name="20% - Accent4 2 2 3 4 2" xfId="5857" xr:uid="{971A4672-18EC-4699-BC4A-34C882457150}"/>
    <cellStyle name="20% - Accent4 2 2 3 5" xfId="4126" xr:uid="{D7375509-EF87-4002-9055-A7CC4548CDBD}"/>
    <cellStyle name="20% - Accent4 2 2 4" xfId="1049" xr:uid="{D1A7B303-9928-4F38-B9A7-C7FBD45B0343}"/>
    <cellStyle name="20% - Accent4 2 2 4 2" xfId="2222" xr:uid="{5989909B-B07F-450D-BC6F-48D1E666BB3F}"/>
    <cellStyle name="20% - Accent4 2 2 4 2 2" xfId="3495" xr:uid="{D7988ABD-FCAC-453E-94C1-D758CCEE1331}"/>
    <cellStyle name="20% - Accent4 2 2 4 2 2 2" xfId="6947" xr:uid="{BBB2C522-3F75-437A-8502-4B1B30C155B5}"/>
    <cellStyle name="20% - Accent4 2 2 4 2 3" xfId="5208" xr:uid="{2B0DDD5D-77B8-4CCA-876B-7745670FE277}"/>
    <cellStyle name="20% - Accent4 2 2 4 3" xfId="2652" xr:uid="{A41F0785-0B14-4EC2-90EF-3F554C1897E0}"/>
    <cellStyle name="20% - Accent4 2 2 4 3 2" xfId="6078" xr:uid="{6FF85315-CF2A-424F-8388-2B49A8105717}"/>
    <cellStyle name="20% - Accent4 2 2 4 4" xfId="4339" xr:uid="{F3F6C110-CBE8-4E9C-9C2B-F2AF686EA8B9}"/>
    <cellStyle name="20% - Accent4 2 2 5" xfId="1504" xr:uid="{9BDE5020-5EA3-46D8-B9D3-20E630BB52E7}"/>
    <cellStyle name="20% - Accent4 2 2 5 2" xfId="3078" xr:uid="{D6F8D1E6-41A0-49D7-B003-19D3D17DB854}"/>
    <cellStyle name="20% - Accent4 2 2 5 2 2" xfId="6513" xr:uid="{799463EC-3763-47E5-BB18-74D78B66398B}"/>
    <cellStyle name="20% - Accent4 2 2 5 3" xfId="4773" xr:uid="{60ECADC4-D562-48BA-A231-33940A383297}"/>
    <cellStyle name="20% - Accent4 2 2 6" xfId="635" xr:uid="{11BC45D8-785D-4EA3-B2DB-AD589AC39E67}"/>
    <cellStyle name="20% - Accent4 2 2 6 2" xfId="5643" xr:uid="{4C222DB7-CD15-4929-B695-D1E833E6FBB9}"/>
    <cellStyle name="20% - Accent4 2 2 7" xfId="3927" xr:uid="{E215D07F-3628-4EA3-80B2-50D453E9367C}"/>
    <cellStyle name="20% - Accent4 2 3" xfId="256" xr:uid="{3BF39292-7FA5-4025-B1CA-BEB1A34CD685}"/>
    <cellStyle name="20% - Accent4 2 3 2" xfId="465" xr:uid="{D774C102-9343-466B-9BE5-8F063DE93454}"/>
    <cellStyle name="20% - Accent4 2 3 2 2" xfId="1325" xr:uid="{4766CB0B-5896-4E37-9E12-101CC0A7B696}"/>
    <cellStyle name="20% - Accent4 2 3 2 2 2" xfId="2465" xr:uid="{49E42D23-522A-4F08-870E-4D3EB18BC74C}"/>
    <cellStyle name="20% - Accent4 2 3 2 2 2 2" xfId="3767" xr:uid="{157F1C3E-35B1-4279-A86A-AF2C67AF758D}"/>
    <cellStyle name="20% - Accent4 2 3 2 2 2 2 2" xfId="7224" xr:uid="{6B824FD3-5616-43A2-8742-881ACE70DC27}"/>
    <cellStyle name="20% - Accent4 2 3 2 2 2 3" xfId="5485" xr:uid="{04DB7195-F0AE-4C0A-BBDF-A720CEDA5F15}"/>
    <cellStyle name="20% - Accent4 2 3 2 2 3" xfId="2920" xr:uid="{A9ADE253-AA27-4404-B962-922D0B8D2890}"/>
    <cellStyle name="20% - Accent4 2 3 2 2 3 2" xfId="6355" xr:uid="{2A7210F0-E1D9-4D13-AAB1-AD0FFAA1E5B9}"/>
    <cellStyle name="20% - Accent4 2 3 2 2 4" xfId="4615" xr:uid="{67CA950F-B85D-4148-BF5D-1CD250D3460B}"/>
    <cellStyle name="20% - Accent4 2 3 2 3" xfId="1782" xr:uid="{5A283287-95E5-4D8B-92E2-B03452C1BAC8}"/>
    <cellStyle name="20% - Accent4 2 3 2 3 2" xfId="3344" xr:uid="{DDD9789E-4E9F-490D-A17F-056FB990A34A}"/>
    <cellStyle name="20% - Accent4 2 3 2 3 2 2" xfId="6789" xr:uid="{633DE0B6-C4F7-4CC0-B7F6-100912F1594B}"/>
    <cellStyle name="20% - Accent4 2 3 2 3 3" xfId="5050" xr:uid="{91146F72-77F3-4565-BC6B-A450C269B6A5}"/>
    <cellStyle name="20% - Accent4 2 3 2 4" xfId="912" xr:uid="{FEAB7964-F79E-470A-98A6-D4E783A3977A}"/>
    <cellStyle name="20% - Accent4 2 3 2 4 2" xfId="5920" xr:uid="{5CA45596-EF4A-4410-88F1-8DC4E2164990}"/>
    <cellStyle name="20% - Accent4 2 3 2 5" xfId="4186" xr:uid="{A57DE417-AC1C-4F23-A573-93F5C7E79413}"/>
    <cellStyle name="20% - Accent4 2 3 3" xfId="1118" xr:uid="{D26273F6-65E6-43ED-BDB3-BB5D27F52549}"/>
    <cellStyle name="20% - Accent4 2 3 3 2" xfId="2277" xr:uid="{9A843BA4-612A-40F4-889A-10F0EBC7134F}"/>
    <cellStyle name="20% - Accent4 2 3 3 2 2" xfId="3562" xr:uid="{8AA10717-9EF6-442A-A857-C9DF9E19ECEE}"/>
    <cellStyle name="20% - Accent4 2 3 3 2 2 2" xfId="7017" xr:uid="{88DC4A2C-C135-4FD9-93E1-AA7442931894}"/>
    <cellStyle name="20% - Accent4 2 3 3 2 3" xfId="5278" xr:uid="{2E8FDF26-B57E-4DD1-9CD5-01B234C836C2}"/>
    <cellStyle name="20% - Accent4 2 3 3 3" xfId="2715" xr:uid="{98308D66-9BB2-4855-A891-435B3B99B31F}"/>
    <cellStyle name="20% - Accent4 2 3 3 3 2" xfId="6148" xr:uid="{F4552D2C-1EB9-43E6-B848-3FF00BE5882F}"/>
    <cellStyle name="20% - Accent4 2 3 3 4" xfId="4408" xr:uid="{D831A9D7-83B3-473C-AF98-A247FF58D4DA}"/>
    <cellStyle name="20% - Accent4 2 3 4" xfId="1592" xr:uid="{5A582EE2-541F-4093-9E68-10C0072714DB}"/>
    <cellStyle name="20% - Accent4 2 3 4 2" xfId="3146" xr:uid="{4D1DE3FF-4BD5-4E19-96B1-5E18A93807F1}"/>
    <cellStyle name="20% - Accent4 2 3 4 2 2" xfId="6582" xr:uid="{11258C16-4939-4A05-BAE4-A16E6A4DEACF}"/>
    <cellStyle name="20% - Accent4 2 3 4 3" xfId="4843" xr:uid="{E6195E55-E915-4F56-BFB3-416726B5FA70}"/>
    <cellStyle name="20% - Accent4 2 3 5" xfId="705" xr:uid="{EE00076A-3D26-4E98-AE80-E0B800ADCDA9}"/>
    <cellStyle name="20% - Accent4 2 3 5 2" xfId="5713" xr:uid="{A75F8020-B3C2-4E76-BBF8-B7E226757A95}"/>
    <cellStyle name="20% - Accent4 2 3 6" xfId="3990" xr:uid="{26E9D848-5A7B-4B69-8769-8D942E54A313}"/>
    <cellStyle name="20% - Accent4 2 4" xfId="370" xr:uid="{890C8282-3CA7-4424-A848-79B50FC1BEC1}"/>
    <cellStyle name="20% - Accent4 2 4 2" xfId="1232" xr:uid="{A4D85FB0-42F9-41B6-902E-8EB60F6D8E15}"/>
    <cellStyle name="20% - Accent4 2 4 2 2" xfId="2377" xr:uid="{72BABD1A-6889-4790-96AD-FCB0541DA313}"/>
    <cellStyle name="20% - Accent4 2 4 2 2 2" xfId="3674" xr:uid="{44AD5E6A-7E5E-4160-9D63-1432E5F3FB2D}"/>
    <cellStyle name="20% - Accent4 2 4 2 2 2 2" xfId="7131" xr:uid="{001B37F6-4A68-4162-AECD-0C930150FEF3}"/>
    <cellStyle name="20% - Accent4 2 4 2 2 3" xfId="5392" xr:uid="{B7060563-FA47-4703-AE60-D20A1200A0E1}"/>
    <cellStyle name="20% - Accent4 2 4 2 3" xfId="2827" xr:uid="{EC34F8EA-23F6-44D0-94FC-77D270D4D17E}"/>
    <cellStyle name="20% - Accent4 2 4 2 3 2" xfId="6262" xr:uid="{96682EA0-83BC-464D-A392-E85B6B0EDE14}"/>
    <cellStyle name="20% - Accent4 2 4 2 4" xfId="4522" xr:uid="{AEF2769E-15BF-43B0-8EFB-5358F289A4E8}"/>
    <cellStyle name="20% - Accent4 2 4 3" xfId="1688" xr:uid="{69A486AE-E051-4818-8D3C-345B36CEAC6A}"/>
    <cellStyle name="20% - Accent4 2 4 3 2" xfId="3256" xr:uid="{23B12572-8313-43DD-8D29-98859D452264}"/>
    <cellStyle name="20% - Accent4 2 4 3 2 2" xfId="6696" xr:uid="{76C10319-27C4-4F32-B2AD-7E6F4719295B}"/>
    <cellStyle name="20% - Accent4 2 4 3 3" xfId="4957" xr:uid="{A4E5B9B8-4D7D-4BFD-B3A2-C0F29FA1B50F}"/>
    <cellStyle name="20% - Accent4 2 4 4" xfId="819" xr:uid="{24690B40-B44F-48C8-9E47-484EB06BBFC0}"/>
    <cellStyle name="20% - Accent4 2 4 4 2" xfId="5827" xr:uid="{951F3A9E-EF6C-4A26-91F7-0C726AD68A8D}"/>
    <cellStyle name="20% - Accent4 2 4 5" xfId="4098" xr:uid="{D1E5C295-C533-4A44-96A6-E37193772795}"/>
    <cellStyle name="20% - Accent4 2 5" xfId="1019" xr:uid="{92978E99-8D27-4889-A3BC-A2B17206EA48}"/>
    <cellStyle name="20% - Accent4 2 5 2" xfId="2194" xr:uid="{12F4DD5F-B57B-49A6-BC5F-2CA7F235844B}"/>
    <cellStyle name="20% - Accent4 2 5 2 2" xfId="3467" xr:uid="{661A3E33-5DD5-47F9-8716-43F20E8BE2E9}"/>
    <cellStyle name="20% - Accent4 2 5 2 2 2" xfId="6917" xr:uid="{1D8C1BC0-2294-417D-9FA3-C920F355953D}"/>
    <cellStyle name="20% - Accent4 2 5 2 3" xfId="5178" xr:uid="{E063E621-F0E4-4C62-8921-42CC0C7A148E}"/>
    <cellStyle name="20% - Accent4 2 5 3" xfId="2624" xr:uid="{7F843620-60C0-4C9E-AE4C-D4CC24AEE35C}"/>
    <cellStyle name="20% - Accent4 2 5 3 2" xfId="6048" xr:uid="{029860AC-DCAA-41DE-8A31-3181B430C2BE}"/>
    <cellStyle name="20% - Accent4 2 5 4" xfId="4309" xr:uid="{E4336C42-F187-41ED-A676-01490BFB11B6}"/>
    <cellStyle name="20% - Accent4 2 6" xfId="1473" xr:uid="{8A02CB14-81FB-4B64-9185-066AFD0D90F3}"/>
    <cellStyle name="20% - Accent4 2 6 2" xfId="3048" xr:uid="{4986C28E-7DB4-4C4A-AED5-46ED5FCFC442}"/>
    <cellStyle name="20% - Accent4 2 6 2 2" xfId="6483" xr:uid="{7726C079-2CE9-4F3F-A765-EE2AD4954959}"/>
    <cellStyle name="20% - Accent4 2 6 3" xfId="4743" xr:uid="{D2A0018D-9B19-4922-80EF-8882876DD6A1}"/>
    <cellStyle name="20% - Accent4 2 7" xfId="605" xr:uid="{598DD4AC-F36F-4A9C-A33C-7C222CBFAECF}"/>
    <cellStyle name="20% - Accent4 2 7 2" xfId="5613" xr:uid="{1B95D356-A383-4083-AFB9-9B8100ECD9F0}"/>
    <cellStyle name="20% - Accent4 2 8" xfId="3899" xr:uid="{D1465FD9-A31A-4A6F-9BAD-42EE9A139C4C}"/>
    <cellStyle name="20% - Accent4 3" xfId="174" xr:uid="{0AB1247C-64AA-49BC-AFEA-BD0738BEF4A6}"/>
    <cellStyle name="20% - Accent4 3 2" xfId="271" xr:uid="{52156DB4-69C1-43F6-80B9-6E5C911BF292}"/>
    <cellStyle name="20% - Accent4 3 2 2" xfId="480" xr:uid="{C3CE9B83-AAD7-495A-8DDF-92BB3B5DB86A}"/>
    <cellStyle name="20% - Accent4 3 2 2 2" xfId="1340" xr:uid="{FFD243FF-8DE2-4161-83AD-0269BF0C4A90}"/>
    <cellStyle name="20% - Accent4 3 2 2 2 2" xfId="2479" xr:uid="{268E7D56-C69A-452A-8595-4FA74A923DEC}"/>
    <cellStyle name="20% - Accent4 3 2 2 2 2 2" xfId="3782" xr:uid="{0E0D7034-D0D5-4182-BFE8-C032E8E0EDE4}"/>
    <cellStyle name="20% - Accent4 3 2 2 2 2 2 2" xfId="7239" xr:uid="{762FF022-4392-4604-92C8-E02437DFDD9A}"/>
    <cellStyle name="20% - Accent4 3 2 2 2 2 3" xfId="5500" xr:uid="{F5E7AC66-1AE6-47F2-A7DE-135DEBB23858}"/>
    <cellStyle name="20% - Accent4 3 2 2 2 3" xfId="2935" xr:uid="{6B6B0686-00E9-4D84-AEA9-6D6DE0669007}"/>
    <cellStyle name="20% - Accent4 3 2 2 2 3 2" xfId="6370" xr:uid="{A2AE57CC-0BBC-4D3E-ADCE-09FEBF879F55}"/>
    <cellStyle name="20% - Accent4 3 2 2 2 4" xfId="4630" xr:uid="{C2CD673E-C9B4-4F16-929A-772316AB2AF3}"/>
    <cellStyle name="20% - Accent4 3 2 2 3" xfId="1797" xr:uid="{AE07E8AD-3BF1-4B63-A296-1B0E5A5614D9}"/>
    <cellStyle name="20% - Accent4 3 2 2 3 2" xfId="3358" xr:uid="{DD6EBCDC-F864-4BB2-AB89-4505ADA44209}"/>
    <cellStyle name="20% - Accent4 3 2 2 3 2 2" xfId="6804" xr:uid="{267E33B1-6B4E-4BF0-A19E-FCB72859EC40}"/>
    <cellStyle name="20% - Accent4 3 2 2 3 3" xfId="5065" xr:uid="{7BADE5DF-DFF5-4DA3-B0DC-AD51FE2DF30E}"/>
    <cellStyle name="20% - Accent4 3 2 2 4" xfId="927" xr:uid="{48ED8A5E-E987-4749-8827-A900AE24BEA8}"/>
    <cellStyle name="20% - Accent4 3 2 2 4 2" xfId="5935" xr:uid="{7A69D083-C571-4A5C-8557-034ADEF1A795}"/>
    <cellStyle name="20% - Accent4 3 2 2 5" xfId="4200" xr:uid="{A6C9DEE0-FE51-4785-A450-C5EFEE0316E8}"/>
    <cellStyle name="20% - Accent4 3 2 3" xfId="1133" xr:uid="{7C13FED8-DD5A-4FD2-9CB3-A97A7B9B7A15}"/>
    <cellStyle name="20% - Accent4 3 2 3 2" xfId="2291" xr:uid="{7A199E00-8C01-4C17-9C92-6DD0853347B1}"/>
    <cellStyle name="20% - Accent4 3 2 3 2 2" xfId="3577" xr:uid="{69F80061-1544-47C2-B9B4-66F5EFCE03D7}"/>
    <cellStyle name="20% - Accent4 3 2 3 2 2 2" xfId="7032" xr:uid="{F63932EC-4033-4C3E-9830-81439E94E69B}"/>
    <cellStyle name="20% - Accent4 3 2 3 2 3" xfId="5293" xr:uid="{871325B2-D310-421A-9AA2-4202CE49A510}"/>
    <cellStyle name="20% - Accent4 3 2 3 3" xfId="2730" xr:uid="{FACB105D-0875-45C9-A24F-8F012CA3EA31}"/>
    <cellStyle name="20% - Accent4 3 2 3 3 2" xfId="6163" xr:uid="{72FF57AD-43B2-45ED-B099-7FB13BB879AE}"/>
    <cellStyle name="20% - Accent4 3 2 3 4" xfId="4423" xr:uid="{431E008D-273D-4A62-AEB1-CD4AEDB7BBE4}"/>
    <cellStyle name="20% - Accent4 3 2 4" xfId="1607" xr:uid="{7124A868-F237-43AF-865C-8B8AA09F10F9}"/>
    <cellStyle name="20% - Accent4 3 2 4 2" xfId="3160" xr:uid="{7BE40D0E-5911-4052-AFFA-5628C650C596}"/>
    <cellStyle name="20% - Accent4 3 2 4 2 2" xfId="6597" xr:uid="{2FFD1CB7-A2B5-4C61-8762-11191D076622}"/>
    <cellStyle name="20% - Accent4 3 2 4 3" xfId="4858" xr:uid="{E63B3D7B-877E-4492-99FA-3F0A9DEC49B1}"/>
    <cellStyle name="20% - Accent4 3 2 5" xfId="720" xr:uid="{924AFEE4-06E3-4708-8BFB-89C18999910D}"/>
    <cellStyle name="20% - Accent4 3 2 5 2" xfId="5728" xr:uid="{206715A3-A233-4863-9378-E5ACB3FB2752}"/>
    <cellStyle name="20% - Accent4 3 2 6" xfId="4004" xr:uid="{294A5B37-E8FF-40E0-9540-EBEA26B459EC}"/>
    <cellStyle name="20% - Accent4 3 3" xfId="387" xr:uid="{8F703F51-7DF1-4EAA-B8FC-DF3F6B905973}"/>
    <cellStyle name="20% - Accent4 3 3 2" xfId="1247" xr:uid="{2C2C7484-C942-4CD8-B7AA-C8ADFC59BC3B}"/>
    <cellStyle name="20% - Accent4 3 3 2 2" xfId="2391" xr:uid="{7C15DBC0-87CE-40A7-A1B6-E73E44DE98AE}"/>
    <cellStyle name="20% - Accent4 3 3 2 2 2" xfId="3689" xr:uid="{7422F6A5-8A3F-4349-9752-98D6BEA45A5F}"/>
    <cellStyle name="20% - Accent4 3 3 2 2 2 2" xfId="7146" xr:uid="{6D808FE7-7B4D-4A64-9ED3-61386844A592}"/>
    <cellStyle name="20% - Accent4 3 3 2 2 3" xfId="5407" xr:uid="{ADB20D61-5D05-4062-BEBF-0988FA7DF931}"/>
    <cellStyle name="20% - Accent4 3 3 2 3" xfId="2842" xr:uid="{D2C47C1D-CE6B-4271-9E67-74EC155DAD4B}"/>
    <cellStyle name="20% - Accent4 3 3 2 3 2" xfId="6277" xr:uid="{6751D2CA-C56F-4B70-9F28-F8FAFC0D445C}"/>
    <cellStyle name="20% - Accent4 3 3 2 4" xfId="4537" xr:uid="{DF534851-EE70-4E67-A9E2-D7E74D576622}"/>
    <cellStyle name="20% - Accent4 3 3 3" xfId="1704" xr:uid="{8AFE48FA-5EEE-4DB2-B998-773848DCA585}"/>
    <cellStyle name="20% - Accent4 3 3 3 2" xfId="3270" xr:uid="{946D9443-B896-40B8-B6E2-16664BA41200}"/>
    <cellStyle name="20% - Accent4 3 3 3 2 2" xfId="6711" xr:uid="{C5075619-5790-4A7B-BB14-2412FD6B28D5}"/>
    <cellStyle name="20% - Accent4 3 3 3 3" xfId="4972" xr:uid="{C43BE785-7E52-4CD8-A004-26521EFFD0C5}"/>
    <cellStyle name="20% - Accent4 3 3 4" xfId="834" xr:uid="{D34AA79D-AFB8-4761-A3E0-0E1F1716DB31}"/>
    <cellStyle name="20% - Accent4 3 3 4 2" xfId="5842" xr:uid="{FBD2C0F8-ACBC-4353-ACE2-AC85DEFEDC7A}"/>
    <cellStyle name="20% - Accent4 3 3 5" xfId="4112" xr:uid="{9C524707-C4F5-40D0-8B02-153D463212D5}"/>
    <cellStyle name="20% - Accent4 3 4" xfId="1034" xr:uid="{11182A33-557C-4245-BC49-A9AEB194F566}"/>
    <cellStyle name="20% - Accent4 3 4 2" xfId="2208" xr:uid="{4E0A6A15-D52A-4D10-B077-08BEA948A4B9}"/>
    <cellStyle name="20% - Accent4 3 4 2 2" xfId="3481" xr:uid="{9293CC17-7FCD-4006-8FE4-7D273BA17121}"/>
    <cellStyle name="20% - Accent4 3 4 2 2 2" xfId="6932" xr:uid="{2FD246BC-1EAC-4B11-A649-30F9787A0551}"/>
    <cellStyle name="20% - Accent4 3 4 2 3" xfId="5193" xr:uid="{493ED2E1-6381-4BA6-B54D-54F68B2CEA70}"/>
    <cellStyle name="20% - Accent4 3 4 3" xfId="2638" xr:uid="{F143BF86-A0FB-4696-A86C-3134E2C1EA3A}"/>
    <cellStyle name="20% - Accent4 3 4 3 2" xfId="6063" xr:uid="{45AF3881-A550-4834-A46E-EABD26959E00}"/>
    <cellStyle name="20% - Accent4 3 4 4" xfId="4324" xr:uid="{8EC607FF-A254-42BD-A35F-AA73F2DF50BC}"/>
    <cellStyle name="20% - Accent4 3 5" xfId="1489" xr:uid="{C4BD15AC-4082-4A93-98A7-D1154E7C33F7}"/>
    <cellStyle name="20% - Accent4 3 5 2" xfId="3063" xr:uid="{0C3F8550-9C1B-4068-AE50-73F226DD579D}"/>
    <cellStyle name="20% - Accent4 3 5 2 2" xfId="6498" xr:uid="{817DE33C-EC0F-4696-A1CC-4DFC45ED9BF8}"/>
    <cellStyle name="20% - Accent4 3 5 3" xfId="4758" xr:uid="{09261B38-2902-427C-B59C-55C69F6C89F7}"/>
    <cellStyle name="20% - Accent4 3 6" xfId="620" xr:uid="{EC4C8A9B-8C0E-4728-9D06-8F3DD355B363}"/>
    <cellStyle name="20% - Accent4 3 6 2" xfId="5628" xr:uid="{12F03D3D-29C7-4DD6-A4E1-4F5CF80145E4}"/>
    <cellStyle name="20% - Accent4 3 7" xfId="3913" xr:uid="{7FB4DD10-1D48-4345-95EE-8868D781ECF4}"/>
    <cellStyle name="20% - Accent4 4" xfId="241" xr:uid="{572EFB4A-A9B6-4787-A1F7-DF37EF6C5FAA}"/>
    <cellStyle name="20% - Accent4 4 2" xfId="450" xr:uid="{BFA3DB98-C07B-4EE5-85D3-E316D91371BE}"/>
    <cellStyle name="20% - Accent4 4 2 2" xfId="1310" xr:uid="{3F183055-9F18-42CA-A160-A2A72FF6C76C}"/>
    <cellStyle name="20% - Accent4 4 2 2 2" xfId="2451" xr:uid="{A74E7DD4-2D39-4CEA-80A0-F307AC6D9E6D}"/>
    <cellStyle name="20% - Accent4 4 2 2 2 2" xfId="3752" xr:uid="{B7DB7680-90C0-4005-A213-EE45737722F1}"/>
    <cellStyle name="20% - Accent4 4 2 2 2 2 2" xfId="7209" xr:uid="{2CCB0C26-19BE-473E-91C7-9513E6757598}"/>
    <cellStyle name="20% - Accent4 4 2 2 2 3" xfId="5470" xr:uid="{AA6082B2-F8F0-461E-9AD6-1CBC631FBF38}"/>
    <cellStyle name="20% - Accent4 4 2 2 3" xfId="2905" xr:uid="{5AD0397C-D3E0-41CB-A9F4-3107E9493F24}"/>
    <cellStyle name="20% - Accent4 4 2 2 3 2" xfId="6340" xr:uid="{5A0B3F95-2B17-4DFF-B3B1-D9CEBEB9EFCD}"/>
    <cellStyle name="20% - Accent4 4 2 2 4" xfId="4600" xr:uid="{B8ED3BC0-2812-429E-9283-41DE0B606166}"/>
    <cellStyle name="20% - Accent4 4 2 3" xfId="1767" xr:uid="{E71AF6CE-E87F-41BA-8B62-BFF094E6F831}"/>
    <cellStyle name="20% - Accent4 4 2 3 2" xfId="3330" xr:uid="{B1EF9532-5131-4C67-9B47-B794B1A9D135}"/>
    <cellStyle name="20% - Accent4 4 2 3 2 2" xfId="6774" xr:uid="{DE398671-91BC-4961-BD83-F25054574516}"/>
    <cellStyle name="20% - Accent4 4 2 3 3" xfId="5035" xr:uid="{33B8672A-003E-4CB7-B13C-079F4C8EB087}"/>
    <cellStyle name="20% - Accent4 4 2 4" xfId="897" xr:uid="{580FCFE0-771D-481B-BBA9-B5E8CD894B2F}"/>
    <cellStyle name="20% - Accent4 4 2 4 2" xfId="5905" xr:uid="{F1274EFB-1058-4CB8-93A5-61BD2A22923C}"/>
    <cellStyle name="20% - Accent4 4 2 5" xfId="4172" xr:uid="{D55635D1-659B-4CFB-8FDE-558163E3D993}"/>
    <cellStyle name="20% - Accent4 4 3" xfId="1103" xr:uid="{4CA4A0F1-A7EB-4BC8-8A9B-8DD08F7A61D4}"/>
    <cellStyle name="20% - Accent4 4 3 2" xfId="2263" xr:uid="{89928EDE-3ACA-4A74-AABE-B8B83BD74777}"/>
    <cellStyle name="20% - Accent4 4 3 2 2" xfId="3548" xr:uid="{F44B6C26-B9FD-4F14-9FE3-517D6938B95B}"/>
    <cellStyle name="20% - Accent4 4 3 2 2 2" xfId="7002" xr:uid="{79C07F52-207C-4DE5-BE98-A3573BFE5277}"/>
    <cellStyle name="20% - Accent4 4 3 2 3" xfId="5263" xr:uid="{F291529C-887D-4060-BF3B-3240A5B00373}"/>
    <cellStyle name="20% - Accent4 4 3 3" xfId="2701" xr:uid="{AF27AB18-411C-4CFE-B371-C6B8D2366A7A}"/>
    <cellStyle name="20% - Accent4 4 3 3 2" xfId="6133" xr:uid="{2975C33A-7CC1-41C1-885E-0EE6417FD319}"/>
    <cellStyle name="20% - Accent4 4 3 4" xfId="4393" xr:uid="{D6449B20-5F92-4E4A-8FC3-264777DD7B6D}"/>
    <cellStyle name="20% - Accent4 4 4" xfId="1577" xr:uid="{F9498E9D-30C4-41EA-B431-C5D76F471375}"/>
    <cellStyle name="20% - Accent4 4 4 2" xfId="3131" xr:uid="{23ABE6DE-A9EA-428A-A8D5-3D02D16EDB5A}"/>
    <cellStyle name="20% - Accent4 4 4 2 2" xfId="6567" xr:uid="{ADCBB5F4-CE21-461F-BF82-D16DB8E8D10A}"/>
    <cellStyle name="20% - Accent4 4 4 3" xfId="4828" xr:uid="{74A67077-0765-4F78-A1D4-BBD8C1A83509}"/>
    <cellStyle name="20% - Accent4 4 5" xfId="690" xr:uid="{71DC7368-C8D1-407F-A5BB-4141E6C92C83}"/>
    <cellStyle name="20% - Accent4 4 5 2" xfId="5698" xr:uid="{43A0C3A7-69AD-4B91-AFD2-E05017D12C6E}"/>
    <cellStyle name="20% - Accent4 4 6" xfId="3976" xr:uid="{62E99573-E39B-425E-8B89-FF4F40C3B95B}"/>
    <cellStyle name="20% - Accent4 5" xfId="352" xr:uid="{7186973E-B60A-45DB-9F6A-82D6C65E4787}"/>
    <cellStyle name="20% - Accent4 5 2" xfId="1217" xr:uid="{B39F0032-EF84-4200-B9BF-7E5020CDF5CE}"/>
    <cellStyle name="20% - Accent4 5 2 2" xfId="2363" xr:uid="{C9759C4F-6783-4268-B512-230630972563}"/>
    <cellStyle name="20% - Accent4 5 2 2 2" xfId="3660" xr:uid="{601247D8-3BA5-43B1-9838-C37ED29691D9}"/>
    <cellStyle name="20% - Accent4 5 2 2 2 2" xfId="7116" xr:uid="{E637B2A1-BB05-473B-AF07-05DE228A0692}"/>
    <cellStyle name="20% - Accent4 5 2 2 3" xfId="5377" xr:uid="{5B4F82C1-D914-4AA9-9DBE-ED773AE25E23}"/>
    <cellStyle name="20% - Accent4 5 2 3" xfId="2813" xr:uid="{D3CA78B7-D8AF-4E4B-AD9E-243A4DCFC2C0}"/>
    <cellStyle name="20% - Accent4 5 2 3 2" xfId="6247" xr:uid="{76A86C21-BB75-4575-9710-7CBF8699675F}"/>
    <cellStyle name="20% - Accent4 5 2 4" xfId="4507" xr:uid="{8981011E-DA9F-4C60-B3E4-B851E8747B25}"/>
    <cellStyle name="20% - Accent4 5 3" xfId="1671" xr:uid="{916AF711-DBC0-47E0-AF01-FC4201707E4B}"/>
    <cellStyle name="20% - Accent4 5 3 2" xfId="3241" xr:uid="{A3493746-EF19-45C7-89D0-A9C5ED259058}"/>
    <cellStyle name="20% - Accent4 5 3 2 2" xfId="6681" xr:uid="{D6260BC7-B364-4290-A6B6-E1D8CD729A3B}"/>
    <cellStyle name="20% - Accent4 5 3 3" xfId="4942" xr:uid="{9E8F218D-B420-48E8-A287-DED688031B65}"/>
    <cellStyle name="20% - Accent4 5 4" xfId="804" xr:uid="{24337EB2-5616-4973-BB71-830B14A436C5}"/>
    <cellStyle name="20% - Accent4 5 4 2" xfId="5812" xr:uid="{CFE6B5A7-AFDF-45CB-9789-F41DC369F9EE}"/>
    <cellStyle name="20% - Accent4 5 5" xfId="4084" xr:uid="{02E23D18-A697-4951-86C7-06F6829D5D29}"/>
    <cellStyle name="20% - Accent4 6" xfId="1004" xr:uid="{0B5D3565-8474-412D-B6ED-FCDAF734102B}"/>
    <cellStyle name="20% - Accent4 6 2" xfId="2180" xr:uid="{FA8BBA3B-DFD4-4AFD-988A-651C0A84F088}"/>
    <cellStyle name="20% - Accent4 6 2 2" xfId="3453" xr:uid="{937C1C66-1D30-44F0-8A5C-0D2E4A0CB2E1}"/>
    <cellStyle name="20% - Accent4 6 2 2 2" xfId="6902" xr:uid="{EDC77006-504E-45FF-B4FA-EC467343D143}"/>
    <cellStyle name="20% - Accent4 6 2 3" xfId="5163" xr:uid="{B4251D11-296B-49F8-ADBF-CFF9A003280A}"/>
    <cellStyle name="20% - Accent4 6 3" xfId="2610" xr:uid="{F7182621-B7FE-4DE4-B68E-5BEBEDA3DE20}"/>
    <cellStyle name="20% - Accent4 6 3 2" xfId="6033" xr:uid="{DD8F0FE4-E999-4C4D-9166-1C9B9DA16AE5}"/>
    <cellStyle name="20% - Accent4 6 4" xfId="4295" xr:uid="{4232E720-159C-40AB-907F-F6746706966B}"/>
    <cellStyle name="20% - Accent4 7" xfId="1453" xr:uid="{7C50A6A9-CE97-4FE9-8B57-B1062DBE772B}"/>
    <cellStyle name="20% - Accent4 7 2" xfId="3033" xr:uid="{3E01BAB8-CC9B-4594-B6B9-D67852E772E3}"/>
    <cellStyle name="20% - Accent4 7 2 2" xfId="6468" xr:uid="{EA90CE8B-2475-4406-826E-40F65A3CF7BB}"/>
    <cellStyle name="20% - Accent4 7 3" xfId="4728" xr:uid="{9BF09F3E-69B9-4A7B-942F-985F96A59064}"/>
    <cellStyle name="20% - Accent4 8" xfId="590" xr:uid="{FF64B034-42AC-4986-86F3-E17F4284A30D}"/>
    <cellStyle name="20% - Accent4 8 2" xfId="5598" xr:uid="{B13C2659-22C6-415D-B71D-821D5FB06EC6}"/>
    <cellStyle name="20% - Accent4 9" xfId="3885" xr:uid="{D34DE1C3-76B1-40E0-8CA6-BD43F700D114}"/>
    <cellStyle name="20% - Accent5" xfId="91" builtinId="46" customBuiltin="1"/>
    <cellStyle name="20% - Accent5 2" xfId="157" xr:uid="{70621144-3B5B-469F-9454-96613940DC4E}"/>
    <cellStyle name="20% - Accent5 2 2" xfId="191" xr:uid="{B0D9C718-A41A-4A92-AA9E-83AE1835B431}"/>
    <cellStyle name="20% - Accent5 2 2 2" xfId="288" xr:uid="{F0F498BC-3499-4DB1-8395-960A7F6F5697}"/>
    <cellStyle name="20% - Accent5 2 2 2 2" xfId="497" xr:uid="{5426EF33-6BC4-4775-93BE-9711F2846CD7}"/>
    <cellStyle name="20% - Accent5 2 2 2 2 2" xfId="1357" xr:uid="{1A0AB079-351D-440E-85BA-913965FE3063}"/>
    <cellStyle name="20% - Accent5 2 2 2 2 2 2" xfId="2495" xr:uid="{983C64FB-41C1-43B4-8C0E-BFF3F8C5C415}"/>
    <cellStyle name="20% - Accent5 2 2 2 2 2 2 2" xfId="3799" xr:uid="{BA5B4EDB-C25B-4C9E-BDB5-1972AA85AB9B}"/>
    <cellStyle name="20% - Accent5 2 2 2 2 2 2 2 2" xfId="7256" xr:uid="{88D58290-381C-4168-9A56-E7F9E7766D06}"/>
    <cellStyle name="20% - Accent5 2 2 2 2 2 2 3" xfId="5517" xr:uid="{024D81CA-5E67-4C0A-A296-AD44EFF44057}"/>
    <cellStyle name="20% - Accent5 2 2 2 2 2 3" xfId="2952" xr:uid="{EF2B6BEA-F7EA-4DA5-BDBA-891AD5FF74ED}"/>
    <cellStyle name="20% - Accent5 2 2 2 2 2 3 2" xfId="6387" xr:uid="{F8A3F159-B84C-4136-8F21-143E0BEF9BF5}"/>
    <cellStyle name="20% - Accent5 2 2 2 2 2 4" xfId="4647" xr:uid="{D6AB9093-DF79-48FC-9925-C885D5F5F3F5}"/>
    <cellStyle name="20% - Accent5 2 2 2 2 3" xfId="1814" xr:uid="{0C694850-E187-4DDF-958E-2901929C3DE7}"/>
    <cellStyle name="20% - Accent5 2 2 2 2 3 2" xfId="3374" xr:uid="{C485F8BA-FC1D-484C-AB92-6296C3F3C85A}"/>
    <cellStyle name="20% - Accent5 2 2 2 2 3 2 2" xfId="6821" xr:uid="{C0AD4A72-C884-4F20-95F4-A8958C9D0C4F}"/>
    <cellStyle name="20% - Accent5 2 2 2 2 3 3" xfId="5082" xr:uid="{4AC44A04-99B8-4012-AD79-4395EA570BE9}"/>
    <cellStyle name="20% - Accent5 2 2 2 2 4" xfId="944" xr:uid="{C94BE785-332A-446D-8FB7-DFD223ECEF32}"/>
    <cellStyle name="20% - Accent5 2 2 2 2 4 2" xfId="5952" xr:uid="{D1827194-20F8-48BE-9FE7-AA2309C0FB76}"/>
    <cellStyle name="20% - Accent5 2 2 2 2 5" xfId="4216" xr:uid="{9D0D5301-57E5-4765-900C-59D7B1F6C957}"/>
    <cellStyle name="20% - Accent5 2 2 2 3" xfId="1150" xr:uid="{7722B249-EC3A-47BE-90AA-8BC7EC3E84C9}"/>
    <cellStyle name="20% - Accent5 2 2 2 3 2" xfId="2307" xr:uid="{2A719679-2B74-486D-95DD-A77B7FBA8350}"/>
    <cellStyle name="20% - Accent5 2 2 2 3 2 2" xfId="3594" xr:uid="{5235D2AD-7E54-4C79-ADC2-8E9EE54440E7}"/>
    <cellStyle name="20% - Accent5 2 2 2 3 2 2 2" xfId="7049" xr:uid="{01147FDC-BE9A-4AE4-B972-C434211FDD8F}"/>
    <cellStyle name="20% - Accent5 2 2 2 3 2 3" xfId="5310" xr:uid="{CFAE4109-D9FB-4B0E-8EED-366A1D4CDEF0}"/>
    <cellStyle name="20% - Accent5 2 2 2 3 3" xfId="2747" xr:uid="{F028D397-5C72-4B3A-9409-A7DCE67B9837}"/>
    <cellStyle name="20% - Accent5 2 2 2 3 3 2" xfId="6180" xr:uid="{88C73656-5221-43E1-906E-A5A5D1B206AE}"/>
    <cellStyle name="20% - Accent5 2 2 2 3 4" xfId="4440" xr:uid="{74C5983D-338A-489D-AB4E-6CDE53393811}"/>
    <cellStyle name="20% - Accent5 2 2 2 4" xfId="1624" xr:uid="{73A7A859-7B4F-4D46-958F-778947DB42C0}"/>
    <cellStyle name="20% - Accent5 2 2 2 4 2" xfId="3176" xr:uid="{4EA5799A-085B-40C8-96E2-57F8BBBCA1A1}"/>
    <cellStyle name="20% - Accent5 2 2 2 4 2 2" xfId="6614" xr:uid="{7B42103C-3DAB-49EA-B04A-1AF8813EF119}"/>
    <cellStyle name="20% - Accent5 2 2 2 4 3" xfId="4875" xr:uid="{38A2A788-6BE6-4FDD-B65E-C5626ADD319E}"/>
    <cellStyle name="20% - Accent5 2 2 2 5" xfId="737" xr:uid="{5DDC804A-4B1F-4874-94D3-DC2C8F14094E}"/>
    <cellStyle name="20% - Accent5 2 2 2 5 2" xfId="5745" xr:uid="{AE0C50DA-18A1-423B-80E8-C7607174C142}"/>
    <cellStyle name="20% - Accent5 2 2 2 6" xfId="4020" xr:uid="{A0D6267B-551D-4507-9B1A-47C3C5D5A2AE}"/>
    <cellStyle name="20% - Accent5 2 2 3" xfId="404" xr:uid="{18C903AC-D4A9-4798-A494-65792EB496FE}"/>
    <cellStyle name="20% - Accent5 2 2 3 2" xfId="1264" xr:uid="{1655CBB5-C3C5-471D-94F4-224854AC6DB1}"/>
    <cellStyle name="20% - Accent5 2 2 3 2 2" xfId="2407" xr:uid="{4CA6BA32-3073-4B39-AF0D-D1EEBC95BEDB}"/>
    <cellStyle name="20% - Accent5 2 2 3 2 2 2" xfId="3706" xr:uid="{7CB8F4AC-7276-4B67-B43F-7679A992F5FF}"/>
    <cellStyle name="20% - Accent5 2 2 3 2 2 2 2" xfId="7163" xr:uid="{D048F94C-ABEC-4BC9-965C-568DF2B09747}"/>
    <cellStyle name="20% - Accent5 2 2 3 2 2 3" xfId="5424" xr:uid="{936B6A98-385A-4705-BEB2-3B2D348F03F4}"/>
    <cellStyle name="20% - Accent5 2 2 3 2 3" xfId="2859" xr:uid="{8087DEE0-0598-4D9D-8D4D-FCEB8FE9E75B}"/>
    <cellStyle name="20% - Accent5 2 2 3 2 3 2" xfId="6294" xr:uid="{C645C216-C3CE-4217-91EA-3E5121B75516}"/>
    <cellStyle name="20% - Accent5 2 2 3 2 4" xfId="4554" xr:uid="{6F2B9B6F-BE2B-4B4E-B177-683E366ACFF8}"/>
    <cellStyle name="20% - Accent5 2 2 3 3" xfId="1721" xr:uid="{F61A329A-C489-4F84-9D15-06F3A8779AD6}"/>
    <cellStyle name="20% - Accent5 2 2 3 3 2" xfId="3286" xr:uid="{2E0F82DC-8974-4491-989D-C081FF751B3B}"/>
    <cellStyle name="20% - Accent5 2 2 3 3 2 2" xfId="6728" xr:uid="{8D0A0650-F5B3-4B3E-A706-2F6EB0E44DDA}"/>
    <cellStyle name="20% - Accent5 2 2 3 3 3" xfId="4989" xr:uid="{12B2D057-D11C-4A8A-B0A9-9D7E413C4DC9}"/>
    <cellStyle name="20% - Accent5 2 2 3 4" xfId="851" xr:uid="{0FEAE724-C303-4C47-8E34-BCB268AE15A7}"/>
    <cellStyle name="20% - Accent5 2 2 3 4 2" xfId="5859" xr:uid="{40454D85-4308-4995-9B41-B5EE6EDA8F60}"/>
    <cellStyle name="20% - Accent5 2 2 3 5" xfId="4128" xr:uid="{FFDF895B-D99F-4FBC-AEC8-E3A7645F08CD}"/>
    <cellStyle name="20% - Accent5 2 2 4" xfId="1051" xr:uid="{1163EF3D-AAD6-4404-BBC1-09D284BF692D}"/>
    <cellStyle name="20% - Accent5 2 2 4 2" xfId="2224" xr:uid="{189DEA88-C0C1-481A-9E75-5CC0D9B02125}"/>
    <cellStyle name="20% - Accent5 2 2 4 2 2" xfId="3497" xr:uid="{7C1F8C94-218E-418A-8EF4-2D9B85CF0612}"/>
    <cellStyle name="20% - Accent5 2 2 4 2 2 2" xfId="6949" xr:uid="{40A8EA19-876A-44CE-AC07-0E907E34C5FC}"/>
    <cellStyle name="20% - Accent5 2 2 4 2 3" xfId="5210" xr:uid="{6D86BDAD-18DB-4D9F-9EA2-890127EC5795}"/>
    <cellStyle name="20% - Accent5 2 2 4 3" xfId="2654" xr:uid="{E62F653B-26D4-475C-8900-A0927F7AF3CA}"/>
    <cellStyle name="20% - Accent5 2 2 4 3 2" xfId="6080" xr:uid="{9BEFC0F5-9736-427E-AA80-17BFC4183B7C}"/>
    <cellStyle name="20% - Accent5 2 2 4 4" xfId="4341" xr:uid="{0D8652B7-D703-469B-BA48-E834EA5230FC}"/>
    <cellStyle name="20% - Accent5 2 2 5" xfId="1506" xr:uid="{01B1C7A8-2BD9-463D-8182-48C0C0BA51DD}"/>
    <cellStyle name="20% - Accent5 2 2 5 2" xfId="3080" xr:uid="{D4A62F6D-4439-4551-A6CC-D4D4B31F9F40}"/>
    <cellStyle name="20% - Accent5 2 2 5 2 2" xfId="6515" xr:uid="{CC6BB53B-00D3-48A4-8E93-6D42F9C4BDD3}"/>
    <cellStyle name="20% - Accent5 2 2 5 3" xfId="4775" xr:uid="{5B5B3E2D-6D6F-4373-A27E-5B88FB515596}"/>
    <cellStyle name="20% - Accent5 2 2 6" xfId="637" xr:uid="{8D274CD4-88D6-4F00-8260-A191AD5C25A8}"/>
    <cellStyle name="20% - Accent5 2 2 6 2" xfId="5645" xr:uid="{D39953C5-4692-41DE-8EB9-1391AE56EACE}"/>
    <cellStyle name="20% - Accent5 2 2 7" xfId="3929" xr:uid="{F46870B9-25F3-4B13-BECC-5633E6785936}"/>
    <cellStyle name="20% - Accent5 2 3" xfId="258" xr:uid="{6C0307BA-0268-46F1-95C2-D8471683E750}"/>
    <cellStyle name="20% - Accent5 2 3 2" xfId="467" xr:uid="{839AD6AE-0281-4E1B-8799-6C7E35C80F4F}"/>
    <cellStyle name="20% - Accent5 2 3 2 2" xfId="1327" xr:uid="{B13E0C64-A678-4B21-BE36-27D621F72940}"/>
    <cellStyle name="20% - Accent5 2 3 2 2 2" xfId="2467" xr:uid="{D48A830A-1C15-4BB9-BF6F-25618C3C64CA}"/>
    <cellStyle name="20% - Accent5 2 3 2 2 2 2" xfId="3769" xr:uid="{559EFA8D-32C9-43B5-834D-A31BC31B12EB}"/>
    <cellStyle name="20% - Accent5 2 3 2 2 2 2 2" xfId="7226" xr:uid="{D2B36060-7625-4F5E-B89E-8EAD3BBFE906}"/>
    <cellStyle name="20% - Accent5 2 3 2 2 2 3" xfId="5487" xr:uid="{A7B99A42-30BF-4BD4-9EDB-94117C26F66A}"/>
    <cellStyle name="20% - Accent5 2 3 2 2 3" xfId="2922" xr:uid="{FE78E3BD-B668-492D-A76A-1595BF8AF850}"/>
    <cellStyle name="20% - Accent5 2 3 2 2 3 2" xfId="6357" xr:uid="{0B31F3EC-C36D-4DC7-9ED6-8CC842319903}"/>
    <cellStyle name="20% - Accent5 2 3 2 2 4" xfId="4617" xr:uid="{2A626087-2400-42DC-9822-B505B47F7D44}"/>
    <cellStyle name="20% - Accent5 2 3 2 3" xfId="1784" xr:uid="{87D53644-D028-4A9A-B365-6D5845112F4E}"/>
    <cellStyle name="20% - Accent5 2 3 2 3 2" xfId="3346" xr:uid="{91B86840-97F7-4D77-BE64-83B7C20B6E94}"/>
    <cellStyle name="20% - Accent5 2 3 2 3 2 2" xfId="6791" xr:uid="{F0E0786C-A3CF-41F2-8A32-371DB8B961A7}"/>
    <cellStyle name="20% - Accent5 2 3 2 3 3" xfId="5052" xr:uid="{4AB2B905-6729-497D-8990-D64BD46BFAB0}"/>
    <cellStyle name="20% - Accent5 2 3 2 4" xfId="914" xr:uid="{EE0E4F96-74D6-4F40-93EC-45E937F990E8}"/>
    <cellStyle name="20% - Accent5 2 3 2 4 2" xfId="5922" xr:uid="{52DDA44C-E1ED-41BB-92E3-4100FEB3B5AA}"/>
    <cellStyle name="20% - Accent5 2 3 2 5" xfId="4188" xr:uid="{A6ABFF2D-83E0-4815-938F-EF2184524056}"/>
    <cellStyle name="20% - Accent5 2 3 3" xfId="1120" xr:uid="{F234606D-2D38-4D3F-AD45-EBA550C9A876}"/>
    <cellStyle name="20% - Accent5 2 3 3 2" xfId="2279" xr:uid="{A9A27BCC-67EA-4263-9FB2-C085BE6F636B}"/>
    <cellStyle name="20% - Accent5 2 3 3 2 2" xfId="3564" xr:uid="{593F74B3-3651-46A7-A64F-6C9739EBA1FC}"/>
    <cellStyle name="20% - Accent5 2 3 3 2 2 2" xfId="7019" xr:uid="{59DB3C21-568A-4E80-9CE5-BEEF6141C87D}"/>
    <cellStyle name="20% - Accent5 2 3 3 2 3" xfId="5280" xr:uid="{B7BF8296-8CAC-4A9E-BCA4-5E493B3C3936}"/>
    <cellStyle name="20% - Accent5 2 3 3 3" xfId="2717" xr:uid="{57C6C470-2FA0-4FE7-9AD0-BCB9BEBCDC2D}"/>
    <cellStyle name="20% - Accent5 2 3 3 3 2" xfId="6150" xr:uid="{7CA591F9-CAE0-4841-8969-7D704B9C6C62}"/>
    <cellStyle name="20% - Accent5 2 3 3 4" xfId="4410" xr:uid="{0DC94CD7-5AC0-48FA-9C7A-70B20F1FC921}"/>
    <cellStyle name="20% - Accent5 2 3 4" xfId="1594" xr:uid="{A8415013-B6DC-45D5-894E-404AC550A35D}"/>
    <cellStyle name="20% - Accent5 2 3 4 2" xfId="3148" xr:uid="{9880BE3D-9EFE-4840-9AA8-4D35201E5A40}"/>
    <cellStyle name="20% - Accent5 2 3 4 2 2" xfId="6584" xr:uid="{F35AAC12-66BE-4BC3-9AFB-2275DC3EAA11}"/>
    <cellStyle name="20% - Accent5 2 3 4 3" xfId="4845" xr:uid="{7C1D24A3-D4A4-4604-AF0D-619A31B38BA5}"/>
    <cellStyle name="20% - Accent5 2 3 5" xfId="707" xr:uid="{56C7256A-D5A5-42FA-9002-26F452A6ED2F}"/>
    <cellStyle name="20% - Accent5 2 3 5 2" xfId="5715" xr:uid="{80419B51-A5B0-49A7-A80D-04E2EBD3AFFE}"/>
    <cellStyle name="20% - Accent5 2 3 6" xfId="3992" xr:uid="{572B1828-9A21-48D4-9471-0E7ABDB19686}"/>
    <cellStyle name="20% - Accent5 2 4" xfId="372" xr:uid="{56B6BB92-4EC8-4166-952D-F109A260FB01}"/>
    <cellStyle name="20% - Accent5 2 4 2" xfId="1234" xr:uid="{122FE0F9-B44B-40F9-A5DA-C3F7E46B5D82}"/>
    <cellStyle name="20% - Accent5 2 4 2 2" xfId="2379" xr:uid="{3C148A31-9762-436E-8AA5-E6F5694599F4}"/>
    <cellStyle name="20% - Accent5 2 4 2 2 2" xfId="3676" xr:uid="{3B416FBD-EB09-4659-B40A-F0413A159884}"/>
    <cellStyle name="20% - Accent5 2 4 2 2 2 2" xfId="7133" xr:uid="{7E3C7F44-17B7-4C9E-AD8A-42C5211F93A5}"/>
    <cellStyle name="20% - Accent5 2 4 2 2 3" xfId="5394" xr:uid="{1DB9F02C-7448-4CC7-8512-DEB2716E89A4}"/>
    <cellStyle name="20% - Accent5 2 4 2 3" xfId="2829" xr:uid="{64118080-B5DB-4E6F-8A41-50EA05EA381E}"/>
    <cellStyle name="20% - Accent5 2 4 2 3 2" xfId="6264" xr:uid="{C8FFE673-ECFF-4B88-91F0-A65B95A333F1}"/>
    <cellStyle name="20% - Accent5 2 4 2 4" xfId="4524" xr:uid="{994933C7-E3B4-4436-BD99-B09CA5F2AFE8}"/>
    <cellStyle name="20% - Accent5 2 4 3" xfId="1690" xr:uid="{39BD5E2A-B892-435B-8C8E-6B4DECE1E0AD}"/>
    <cellStyle name="20% - Accent5 2 4 3 2" xfId="3258" xr:uid="{FEA76143-38D6-4B45-90E9-4DB41EF905E9}"/>
    <cellStyle name="20% - Accent5 2 4 3 2 2" xfId="6698" xr:uid="{39C4284F-4163-4D34-A03C-1032EA213CE9}"/>
    <cellStyle name="20% - Accent5 2 4 3 3" xfId="4959" xr:uid="{7F665E38-F253-42E8-BE63-39A772887DD8}"/>
    <cellStyle name="20% - Accent5 2 4 4" xfId="821" xr:uid="{5A48A0B4-E4A6-4230-937B-F0726AFC6345}"/>
    <cellStyle name="20% - Accent5 2 4 4 2" xfId="5829" xr:uid="{BA7DFD00-0BC9-446C-BF6E-540A9CB4831F}"/>
    <cellStyle name="20% - Accent5 2 4 5" xfId="4100" xr:uid="{B08E559D-0C78-447D-BAAF-A55776D75865}"/>
    <cellStyle name="20% - Accent5 2 5" xfId="1021" xr:uid="{F833D90B-330A-476F-B056-CA2352893D03}"/>
    <cellStyle name="20% - Accent5 2 5 2" xfId="2196" xr:uid="{C4B2EED3-CEE6-447A-B1D0-AB2786BD5253}"/>
    <cellStyle name="20% - Accent5 2 5 2 2" xfId="3469" xr:uid="{0C6D8B46-0492-41A1-8E66-423BB76E5F5C}"/>
    <cellStyle name="20% - Accent5 2 5 2 2 2" xfId="6919" xr:uid="{4621111C-3952-4668-91E5-5C3D735FF120}"/>
    <cellStyle name="20% - Accent5 2 5 2 3" xfId="5180" xr:uid="{73E83CEE-10F6-485F-B3B1-1C6AA0054C96}"/>
    <cellStyle name="20% - Accent5 2 5 3" xfId="2626" xr:uid="{2CC4A0A1-6218-4602-B0F3-90449B44C25B}"/>
    <cellStyle name="20% - Accent5 2 5 3 2" xfId="6050" xr:uid="{2C0E9D79-74BF-4A12-BD93-C3D5B529D5A3}"/>
    <cellStyle name="20% - Accent5 2 5 4" xfId="4311" xr:uid="{D00346C3-880F-4343-854A-9ABCACF10D69}"/>
    <cellStyle name="20% - Accent5 2 6" xfId="1475" xr:uid="{B66CED98-35BC-4930-B613-C8904CF4971F}"/>
    <cellStyle name="20% - Accent5 2 6 2" xfId="3050" xr:uid="{B612411B-50A7-4D6A-8FD5-39AC1DBB096D}"/>
    <cellStyle name="20% - Accent5 2 6 2 2" xfId="6485" xr:uid="{FF715933-F62D-4397-B071-478E019029EE}"/>
    <cellStyle name="20% - Accent5 2 6 3" xfId="4745" xr:uid="{09BBB0C7-8E59-4E2B-9322-7E4C8FBB30BD}"/>
    <cellStyle name="20% - Accent5 2 7" xfId="607" xr:uid="{3071587E-8D20-40D1-A3F2-77BA588AE3E4}"/>
    <cellStyle name="20% - Accent5 2 7 2" xfId="5615" xr:uid="{053C1E49-D696-4A7A-9CB2-D79404DFCF21}"/>
    <cellStyle name="20% - Accent5 2 8" xfId="3901" xr:uid="{54063D18-29D0-47B9-AFC3-54C4E3B4E65F}"/>
    <cellStyle name="20% - Accent5 3" xfId="176" xr:uid="{7086E6D1-D223-4CBF-B5AB-7D0B5F809657}"/>
    <cellStyle name="20% - Accent5 3 2" xfId="273" xr:uid="{D04A499F-B764-4189-8970-E1A8F1BBC643}"/>
    <cellStyle name="20% - Accent5 3 2 2" xfId="482" xr:uid="{386DBC4F-BE62-4A04-9384-DDF455D1CDE0}"/>
    <cellStyle name="20% - Accent5 3 2 2 2" xfId="1342" xr:uid="{630E141F-3288-466B-9D71-83DFDB1EDC46}"/>
    <cellStyle name="20% - Accent5 3 2 2 2 2" xfId="2481" xr:uid="{8D24918B-A759-452E-AB56-60475121C894}"/>
    <cellStyle name="20% - Accent5 3 2 2 2 2 2" xfId="3784" xr:uid="{6835E2C1-03D8-460C-B29D-90372CA6748C}"/>
    <cellStyle name="20% - Accent5 3 2 2 2 2 2 2" xfId="7241" xr:uid="{3CFC09C0-9A7A-417A-BDAD-4AFC5055A102}"/>
    <cellStyle name="20% - Accent5 3 2 2 2 2 3" xfId="5502" xr:uid="{E11DF676-D373-4369-9C94-887276CCED29}"/>
    <cellStyle name="20% - Accent5 3 2 2 2 3" xfId="2937" xr:uid="{567F2634-D7DC-411C-84B9-026471275DA8}"/>
    <cellStyle name="20% - Accent5 3 2 2 2 3 2" xfId="6372" xr:uid="{542B5320-AAF7-48CC-A4C2-8C5DC3FACBB8}"/>
    <cellStyle name="20% - Accent5 3 2 2 2 4" xfId="4632" xr:uid="{8D8F7D94-E5BE-4983-9CC8-295666E6BAD5}"/>
    <cellStyle name="20% - Accent5 3 2 2 3" xfId="1799" xr:uid="{1864A4E9-AAAC-4EDA-AA51-E969AD4EEC85}"/>
    <cellStyle name="20% - Accent5 3 2 2 3 2" xfId="3360" xr:uid="{38C04CE3-FDB9-4B14-8703-E21CB192C963}"/>
    <cellStyle name="20% - Accent5 3 2 2 3 2 2" xfId="6806" xr:uid="{57101D31-A1E8-4B40-A957-10FE8B9F093F}"/>
    <cellStyle name="20% - Accent5 3 2 2 3 3" xfId="5067" xr:uid="{CBAE714F-3ED2-458A-920E-9956CC13B8F0}"/>
    <cellStyle name="20% - Accent5 3 2 2 4" xfId="929" xr:uid="{78126B12-44F5-4276-A016-532CCD4B2783}"/>
    <cellStyle name="20% - Accent5 3 2 2 4 2" xfId="5937" xr:uid="{CCB9CB88-AEE8-40FD-96EC-BE5527F222DD}"/>
    <cellStyle name="20% - Accent5 3 2 2 5" xfId="4202" xr:uid="{246F2A7C-D3FE-4D3D-9E84-86F03CC85E19}"/>
    <cellStyle name="20% - Accent5 3 2 3" xfId="1135" xr:uid="{31D66684-0D7C-4AF2-91CF-66E688B3AC7F}"/>
    <cellStyle name="20% - Accent5 3 2 3 2" xfId="2293" xr:uid="{5CBC30E8-40C4-4FB5-89BF-591706A0CCFD}"/>
    <cellStyle name="20% - Accent5 3 2 3 2 2" xfId="3579" xr:uid="{55D66CCE-F1BE-49AB-90CC-7D5F102C1199}"/>
    <cellStyle name="20% - Accent5 3 2 3 2 2 2" xfId="7034" xr:uid="{FFD53E23-2C52-4C05-8CE7-4C94A7F24719}"/>
    <cellStyle name="20% - Accent5 3 2 3 2 3" xfId="5295" xr:uid="{52A24382-58E5-4AC2-B8B3-A7596E439F3A}"/>
    <cellStyle name="20% - Accent5 3 2 3 3" xfId="2732" xr:uid="{AD95BC07-25A8-4A48-9DB6-C32BD652829C}"/>
    <cellStyle name="20% - Accent5 3 2 3 3 2" xfId="6165" xr:uid="{41ADEB2C-CAE3-4E82-9881-D85C35272E9C}"/>
    <cellStyle name="20% - Accent5 3 2 3 4" xfId="4425" xr:uid="{C0D68DDA-2A69-4E07-8F39-B7B19DC5D8BD}"/>
    <cellStyle name="20% - Accent5 3 2 4" xfId="1609" xr:uid="{3EE255FA-8EF4-46E5-AFC0-3B653D9BD495}"/>
    <cellStyle name="20% - Accent5 3 2 4 2" xfId="3162" xr:uid="{9037B8CD-075D-46F1-B92E-1B73DB30806E}"/>
    <cellStyle name="20% - Accent5 3 2 4 2 2" xfId="6599" xr:uid="{63676C1B-B1F3-4902-8F3D-4FC3B7308F78}"/>
    <cellStyle name="20% - Accent5 3 2 4 3" xfId="4860" xr:uid="{CF463CF0-C496-480F-BEC2-14EC2D2D0E41}"/>
    <cellStyle name="20% - Accent5 3 2 5" xfId="722" xr:uid="{2DF54A1D-CEA1-410D-9CE7-93F5937F6596}"/>
    <cellStyle name="20% - Accent5 3 2 5 2" xfId="5730" xr:uid="{144EE573-83CC-4AD1-A589-4E52FC56FA97}"/>
    <cellStyle name="20% - Accent5 3 2 6" xfId="4006" xr:uid="{37EFCF16-B757-4C70-B380-9BBDB017356D}"/>
    <cellStyle name="20% - Accent5 3 3" xfId="389" xr:uid="{E71E3C82-C4A9-4CB7-AA93-F8E6364879BB}"/>
    <cellStyle name="20% - Accent5 3 3 2" xfId="1249" xr:uid="{A6F2315D-3741-436A-8DF1-BADA6E0EA0C7}"/>
    <cellStyle name="20% - Accent5 3 3 2 2" xfId="2393" xr:uid="{56263D9F-55A0-444E-93D4-F8F666216EA5}"/>
    <cellStyle name="20% - Accent5 3 3 2 2 2" xfId="3691" xr:uid="{C991DA56-9FF7-4493-8D64-846B4F4C4ADC}"/>
    <cellStyle name="20% - Accent5 3 3 2 2 2 2" xfId="7148" xr:uid="{6797E792-E471-4C6A-998E-A34257C38E3F}"/>
    <cellStyle name="20% - Accent5 3 3 2 2 3" xfId="5409" xr:uid="{121ECF78-0E79-45A5-880D-5CE5EB1EDC5F}"/>
    <cellStyle name="20% - Accent5 3 3 2 3" xfId="2844" xr:uid="{D42C9D10-29B6-4DA7-B744-F408733985B3}"/>
    <cellStyle name="20% - Accent5 3 3 2 3 2" xfId="6279" xr:uid="{E295AEF4-9A4C-46F4-A153-59D7D92172DE}"/>
    <cellStyle name="20% - Accent5 3 3 2 4" xfId="4539" xr:uid="{F39613EE-3E4F-4F5D-AFD6-281D48145ACC}"/>
    <cellStyle name="20% - Accent5 3 3 3" xfId="1706" xr:uid="{1C8C3452-BF8E-4926-B3A4-A7280DD87A47}"/>
    <cellStyle name="20% - Accent5 3 3 3 2" xfId="3272" xr:uid="{E76CEB78-7A0C-4E48-A532-A5C44D1AB41A}"/>
    <cellStyle name="20% - Accent5 3 3 3 2 2" xfId="6713" xr:uid="{7503B667-0659-4C40-82EA-0530B05B0191}"/>
    <cellStyle name="20% - Accent5 3 3 3 3" xfId="4974" xr:uid="{9CC47A22-8DB0-426B-8925-AAD0C521554F}"/>
    <cellStyle name="20% - Accent5 3 3 4" xfId="836" xr:uid="{FD1293CF-94AB-4279-A392-0ACA9C624CBD}"/>
    <cellStyle name="20% - Accent5 3 3 4 2" xfId="5844" xr:uid="{D8FF559D-816F-4D7D-A600-4B9F32D020CC}"/>
    <cellStyle name="20% - Accent5 3 3 5" xfId="4114" xr:uid="{9BF3AFCD-CDA1-47A7-8004-8FA3CA854343}"/>
    <cellStyle name="20% - Accent5 3 4" xfId="1036" xr:uid="{E73C4747-D5EF-4B64-B87D-FFD25955A085}"/>
    <cellStyle name="20% - Accent5 3 4 2" xfId="2210" xr:uid="{33B7DDF1-E5F1-4EFA-9D03-F8AD04084BD0}"/>
    <cellStyle name="20% - Accent5 3 4 2 2" xfId="3483" xr:uid="{E0065006-B8CE-4DA2-ABDE-39C28BEC21A9}"/>
    <cellStyle name="20% - Accent5 3 4 2 2 2" xfId="6934" xr:uid="{EE55C87F-9C59-4B7A-9D38-2EB62634C192}"/>
    <cellStyle name="20% - Accent5 3 4 2 3" xfId="5195" xr:uid="{2E009DCD-FE1F-4AD1-A48C-0B996C92E724}"/>
    <cellStyle name="20% - Accent5 3 4 3" xfId="2640" xr:uid="{7B1C8CD4-3E5C-416F-BCAB-D02B6A70E7C3}"/>
    <cellStyle name="20% - Accent5 3 4 3 2" xfId="6065" xr:uid="{44E88061-08E9-468F-B65C-5E6FCF3F1989}"/>
    <cellStyle name="20% - Accent5 3 4 4" xfId="4326" xr:uid="{A72A38DC-C644-4B7F-BE44-33692B7A52C5}"/>
    <cellStyle name="20% - Accent5 3 5" xfId="1491" xr:uid="{78D11E5D-D065-4DD7-B5D9-805E729D26B1}"/>
    <cellStyle name="20% - Accent5 3 5 2" xfId="3065" xr:uid="{CC0ADC9E-4441-4F13-810C-DD5B4FFC32A7}"/>
    <cellStyle name="20% - Accent5 3 5 2 2" xfId="6500" xr:uid="{127C2D6C-824D-4385-9C9A-9FD0E02B277D}"/>
    <cellStyle name="20% - Accent5 3 5 3" xfId="4760" xr:uid="{FD5DBD10-9333-4623-8B01-9A4D0882E3EC}"/>
    <cellStyle name="20% - Accent5 3 6" xfId="622" xr:uid="{CA810A85-04CD-4DE4-9F5C-AC7B293F3F25}"/>
    <cellStyle name="20% - Accent5 3 6 2" xfId="5630" xr:uid="{76064BA7-56CE-498F-8014-9BC2FDECC797}"/>
    <cellStyle name="20% - Accent5 3 7" xfId="3915" xr:uid="{697F6A9A-D306-4DAA-8BFE-862E20697DF3}"/>
    <cellStyle name="20% - Accent5 4" xfId="243" xr:uid="{1A0FDA92-2D33-4370-9969-AE99E75E52ED}"/>
    <cellStyle name="20% - Accent5 4 2" xfId="452" xr:uid="{81E8130A-90E0-4BB7-A0F2-AB76DE0523EF}"/>
    <cellStyle name="20% - Accent5 4 2 2" xfId="1312" xr:uid="{FEF68684-AE52-4A52-8643-09C458C26CDC}"/>
    <cellStyle name="20% - Accent5 4 2 2 2" xfId="2453" xr:uid="{14CA1534-562F-4CFA-B907-F9D2DFBAB1B9}"/>
    <cellStyle name="20% - Accent5 4 2 2 2 2" xfId="3754" xr:uid="{7F77A781-78B9-4520-B2DD-9509261F39B1}"/>
    <cellStyle name="20% - Accent5 4 2 2 2 2 2" xfId="7211" xr:uid="{A266FC5A-00C4-4B74-AA3C-F2453F3AB6B0}"/>
    <cellStyle name="20% - Accent5 4 2 2 2 3" xfId="5472" xr:uid="{1CE41C4B-E1C0-4846-87F2-87591DBCD2B6}"/>
    <cellStyle name="20% - Accent5 4 2 2 3" xfId="2907" xr:uid="{C955763C-C9EC-4CC5-AB46-4A35B6787F23}"/>
    <cellStyle name="20% - Accent5 4 2 2 3 2" xfId="6342" xr:uid="{2ABFDF7B-D696-4D51-AB43-0E07065B3777}"/>
    <cellStyle name="20% - Accent5 4 2 2 4" xfId="4602" xr:uid="{7BFAF02F-A06F-4462-B6A4-1D7F2FE7763D}"/>
    <cellStyle name="20% - Accent5 4 2 3" xfId="1769" xr:uid="{471CDABE-A501-4A18-9420-C9028867E335}"/>
    <cellStyle name="20% - Accent5 4 2 3 2" xfId="3332" xr:uid="{870B9441-2AF5-4A60-ABC8-083372ADFB62}"/>
    <cellStyle name="20% - Accent5 4 2 3 2 2" xfId="6776" xr:uid="{5C8F8EBC-D33A-49AD-BF97-9857BFDBFCF6}"/>
    <cellStyle name="20% - Accent5 4 2 3 3" xfId="5037" xr:uid="{AC8922FD-24F1-4C0A-A7AD-E1A96BFE9A6C}"/>
    <cellStyle name="20% - Accent5 4 2 4" xfId="899" xr:uid="{0158E50B-CBB6-4584-90BD-09EE6421245A}"/>
    <cellStyle name="20% - Accent5 4 2 4 2" xfId="5907" xr:uid="{F6447D51-A031-41B0-8DD7-3A32992E8A66}"/>
    <cellStyle name="20% - Accent5 4 2 5" xfId="4174" xr:uid="{E4118B83-394C-482E-95A4-671E7B29D45E}"/>
    <cellStyle name="20% - Accent5 4 3" xfId="1105" xr:uid="{3B62ED37-307E-4963-B492-4AFD14B0AC52}"/>
    <cellStyle name="20% - Accent5 4 3 2" xfId="2265" xr:uid="{E234C6AF-FA36-4367-80BC-167B249939F5}"/>
    <cellStyle name="20% - Accent5 4 3 2 2" xfId="3550" xr:uid="{DE8CD703-A557-4D2C-A813-3B381B5B5BAD}"/>
    <cellStyle name="20% - Accent5 4 3 2 2 2" xfId="7004" xr:uid="{F3462DC0-90CD-4818-A23F-AA7F8FB00783}"/>
    <cellStyle name="20% - Accent5 4 3 2 3" xfId="5265" xr:uid="{A62DA6F2-5AF7-4EDC-8145-EA530926F21F}"/>
    <cellStyle name="20% - Accent5 4 3 3" xfId="2703" xr:uid="{3310EED3-8600-41E4-88A9-0AFF7496B150}"/>
    <cellStyle name="20% - Accent5 4 3 3 2" xfId="6135" xr:uid="{555BE9CF-E5E8-426A-828F-47B34DAD51EC}"/>
    <cellStyle name="20% - Accent5 4 3 4" xfId="4395" xr:uid="{1CAC686A-2D06-43E6-AE54-44E0EBF0FD0C}"/>
    <cellStyle name="20% - Accent5 4 4" xfId="1579" xr:uid="{562C6DBB-D55F-4D2A-8B29-604A790F8C78}"/>
    <cellStyle name="20% - Accent5 4 4 2" xfId="3133" xr:uid="{351674EF-7464-4693-96DD-EDEE67917C83}"/>
    <cellStyle name="20% - Accent5 4 4 2 2" xfId="6569" xr:uid="{8B307C3F-4FF9-4902-A250-71EE9608F07E}"/>
    <cellStyle name="20% - Accent5 4 4 3" xfId="4830" xr:uid="{BC68AD3A-A4DA-4675-A3CD-3AADF52A15A3}"/>
    <cellStyle name="20% - Accent5 4 5" xfId="692" xr:uid="{4E6AA093-9874-4B3F-8D1C-8CA57D51D98E}"/>
    <cellStyle name="20% - Accent5 4 5 2" xfId="5700" xr:uid="{8CE4BBC0-02FC-4171-B181-EC1CAC354452}"/>
    <cellStyle name="20% - Accent5 4 6" xfId="3978" xr:uid="{705C9C9E-40F6-41BC-B1AA-93238CD5A725}"/>
    <cellStyle name="20% - Accent5 5" xfId="354" xr:uid="{E90083D4-3EAB-469C-8E8E-313207FD843C}"/>
    <cellStyle name="20% - Accent5 5 2" xfId="1219" xr:uid="{F5AABDDE-234B-4D4B-9715-0249D7DBC060}"/>
    <cellStyle name="20% - Accent5 5 2 2" xfId="2365" xr:uid="{14A58923-CA75-4A67-90CE-444CC34189BD}"/>
    <cellStyle name="20% - Accent5 5 2 2 2" xfId="3662" xr:uid="{34039E5B-B581-4BB7-8C7E-CA14A7B31034}"/>
    <cellStyle name="20% - Accent5 5 2 2 2 2" xfId="7118" xr:uid="{57BE1193-9219-4B7C-9B79-964B81591368}"/>
    <cellStyle name="20% - Accent5 5 2 2 3" xfId="5379" xr:uid="{2F4DA7BB-2F8E-484B-ADD9-3D5CF4A02787}"/>
    <cellStyle name="20% - Accent5 5 2 3" xfId="2815" xr:uid="{4C8E5216-B8FE-442E-8E77-D9E91943407F}"/>
    <cellStyle name="20% - Accent5 5 2 3 2" xfId="6249" xr:uid="{C7CD67B4-08CD-4244-A98B-68C3A88A55F7}"/>
    <cellStyle name="20% - Accent5 5 2 4" xfId="4509" xr:uid="{6D734FE3-9B58-451B-AE6C-B438095A6A36}"/>
    <cellStyle name="20% - Accent5 5 3" xfId="1673" xr:uid="{4F54AD4D-36A9-429C-AF08-8FA9B5ADAAB0}"/>
    <cellStyle name="20% - Accent5 5 3 2" xfId="3243" xr:uid="{4E20ACA8-7D5F-4B5C-A8A3-475A787A497E}"/>
    <cellStyle name="20% - Accent5 5 3 2 2" xfId="6683" xr:uid="{B9366A94-4D0B-4B12-AC67-81525D6FEC74}"/>
    <cellStyle name="20% - Accent5 5 3 3" xfId="4944" xr:uid="{602214D0-EE5B-44C5-AE2E-E4CAC1D62550}"/>
    <cellStyle name="20% - Accent5 5 4" xfId="806" xr:uid="{9BF4F58D-F033-4AAE-BDC6-930DC4E86C5F}"/>
    <cellStyle name="20% - Accent5 5 4 2" xfId="5814" xr:uid="{F8CD555C-30A5-4D92-810E-1B852A985A41}"/>
    <cellStyle name="20% - Accent5 5 5" xfId="4086" xr:uid="{CF97DD17-40EA-4CF5-AAA2-C6DA38CBEC29}"/>
    <cellStyle name="20% - Accent5 6" xfId="1006" xr:uid="{0DF12C43-37A4-44E2-800A-CF083FD79F0C}"/>
    <cellStyle name="20% - Accent5 6 2" xfId="2182" xr:uid="{154AE8E6-1C5E-4D3B-ABF5-84AA33E7EC9C}"/>
    <cellStyle name="20% - Accent5 6 2 2" xfId="3455" xr:uid="{B1F46ED5-F0AC-461E-82DE-C072C5ECE6AB}"/>
    <cellStyle name="20% - Accent5 6 2 2 2" xfId="6904" xr:uid="{53262B74-89C8-4962-BD43-D3EA7C813561}"/>
    <cellStyle name="20% - Accent5 6 2 3" xfId="5165" xr:uid="{71BCA681-C000-4840-9503-9BA676A70045}"/>
    <cellStyle name="20% - Accent5 6 3" xfId="2612" xr:uid="{670A4624-438C-4487-BA22-EE0A91363C35}"/>
    <cellStyle name="20% - Accent5 6 3 2" xfId="6035" xr:uid="{678BBCCD-2625-4183-B608-F89300D673CA}"/>
    <cellStyle name="20% - Accent5 6 4" xfId="4297" xr:uid="{5DEE5706-07DE-43E2-BC1D-E1CA837E69CA}"/>
    <cellStyle name="20% - Accent5 7" xfId="1455" xr:uid="{5CC03676-7105-47D8-BCEA-6EF7C1945D11}"/>
    <cellStyle name="20% - Accent5 7 2" xfId="3035" xr:uid="{1283CA22-1985-4DE2-B0EA-FC9D820591C8}"/>
    <cellStyle name="20% - Accent5 7 2 2" xfId="6470" xr:uid="{C685E89F-2C7F-4D69-8994-83C079F784CF}"/>
    <cellStyle name="20% - Accent5 7 3" xfId="4730" xr:uid="{8FB5716C-53B5-4CE6-8175-17698F53C79A}"/>
    <cellStyle name="20% - Accent5 8" xfId="592" xr:uid="{99D60F0D-9D20-4090-93BC-047D7E112B4D}"/>
    <cellStyle name="20% - Accent5 8 2" xfId="5600" xr:uid="{3D3E6DF5-83F7-4E7E-B9F8-E9396C5C6698}"/>
    <cellStyle name="20% - Accent5 9" xfId="3887" xr:uid="{A392C1BA-1D5C-4289-AB11-0DF75B09A63F}"/>
    <cellStyle name="20% - Accent6" xfId="94" builtinId="50" customBuiltin="1"/>
    <cellStyle name="20% - Accent6 2" xfId="159" xr:uid="{626D8EC5-CFA6-4E15-928B-FF34BEF39FC3}"/>
    <cellStyle name="20% - Accent6 2 2" xfId="193" xr:uid="{2DDB0D2C-33DA-4E09-9645-1AFD213DC661}"/>
    <cellStyle name="20% - Accent6 2 2 2" xfId="290" xr:uid="{4653B53B-63AC-4215-AD68-F6C1AF17C58C}"/>
    <cellStyle name="20% - Accent6 2 2 2 2" xfId="499" xr:uid="{19A8BEA7-C458-451C-8CD9-2A88D6D1E396}"/>
    <cellStyle name="20% - Accent6 2 2 2 2 2" xfId="1359" xr:uid="{D07384AE-3122-4E99-8F11-D1FAD7D511D7}"/>
    <cellStyle name="20% - Accent6 2 2 2 2 2 2" xfId="2497" xr:uid="{454AA5F1-2767-47FC-BC9C-745CF018BA2A}"/>
    <cellStyle name="20% - Accent6 2 2 2 2 2 2 2" xfId="3801" xr:uid="{23F06104-9998-4699-8434-23BB62785DEE}"/>
    <cellStyle name="20% - Accent6 2 2 2 2 2 2 2 2" xfId="7258" xr:uid="{024D1605-BDD9-4B67-987B-78918EC5B9DD}"/>
    <cellStyle name="20% - Accent6 2 2 2 2 2 2 3" xfId="5519" xr:uid="{96E89E08-294B-47B0-900E-97D1CA52DC91}"/>
    <cellStyle name="20% - Accent6 2 2 2 2 2 3" xfId="2954" xr:uid="{4CC9FA7A-5EBF-4B91-8526-2376A1053286}"/>
    <cellStyle name="20% - Accent6 2 2 2 2 2 3 2" xfId="6389" xr:uid="{2936BDF9-9AB4-4F5D-905F-B9D96D577D86}"/>
    <cellStyle name="20% - Accent6 2 2 2 2 2 4" xfId="4649" xr:uid="{26866275-4262-4D66-91BD-2E89DCA6FD31}"/>
    <cellStyle name="20% - Accent6 2 2 2 2 3" xfId="1816" xr:uid="{100C1250-65BC-462D-9EC8-770E8C9FC7DF}"/>
    <cellStyle name="20% - Accent6 2 2 2 2 3 2" xfId="3376" xr:uid="{4B7AC17D-209D-4800-9217-C24C57E98F16}"/>
    <cellStyle name="20% - Accent6 2 2 2 2 3 2 2" xfId="6823" xr:uid="{83FF6984-530A-4F11-AECC-D1EDF42682DD}"/>
    <cellStyle name="20% - Accent6 2 2 2 2 3 3" xfId="5084" xr:uid="{02F94F15-E6F9-4962-9597-77A4B542A4F1}"/>
    <cellStyle name="20% - Accent6 2 2 2 2 4" xfId="946" xr:uid="{3766FD80-57DD-40C9-8437-E5D1088B9C78}"/>
    <cellStyle name="20% - Accent6 2 2 2 2 4 2" xfId="5954" xr:uid="{03C496E2-A51B-4F11-8A88-FF96EB0F6B3E}"/>
    <cellStyle name="20% - Accent6 2 2 2 2 5" xfId="4218" xr:uid="{09790AC0-D749-4A88-B589-7999C2D98EEE}"/>
    <cellStyle name="20% - Accent6 2 2 2 3" xfId="1152" xr:uid="{1C844C9C-BF1F-43CA-87D7-D64D520380CB}"/>
    <cellStyle name="20% - Accent6 2 2 2 3 2" xfId="2309" xr:uid="{3587499A-6146-48CC-8FBE-8CCC2A36C9A8}"/>
    <cellStyle name="20% - Accent6 2 2 2 3 2 2" xfId="3596" xr:uid="{B12AA956-6BC2-4B3A-9B0A-8963C3A65619}"/>
    <cellStyle name="20% - Accent6 2 2 2 3 2 2 2" xfId="7051" xr:uid="{4D280425-3124-42C6-B244-A8701711754B}"/>
    <cellStyle name="20% - Accent6 2 2 2 3 2 3" xfId="5312" xr:uid="{A3B18DCE-CEE3-43D8-A507-C5F25AEF84C0}"/>
    <cellStyle name="20% - Accent6 2 2 2 3 3" xfId="2749" xr:uid="{D328DD3C-DFEA-4536-948E-0224711D44B6}"/>
    <cellStyle name="20% - Accent6 2 2 2 3 3 2" xfId="6182" xr:uid="{BFE1967F-7746-4231-8305-A2BE026240BD}"/>
    <cellStyle name="20% - Accent6 2 2 2 3 4" xfId="4442" xr:uid="{F289F7CC-2CDC-48E7-9679-31840F7BC169}"/>
    <cellStyle name="20% - Accent6 2 2 2 4" xfId="1626" xr:uid="{77D0107D-4732-4EF2-B058-8A546CDA40C6}"/>
    <cellStyle name="20% - Accent6 2 2 2 4 2" xfId="3178" xr:uid="{724A8E37-C26E-4CC7-B423-3B51208D3B6F}"/>
    <cellStyle name="20% - Accent6 2 2 2 4 2 2" xfId="6616" xr:uid="{FFF10DD2-1010-4083-BD3A-A704006AF2B2}"/>
    <cellStyle name="20% - Accent6 2 2 2 4 3" xfId="4877" xr:uid="{4D3E329E-6335-4AAA-921A-C929AE726337}"/>
    <cellStyle name="20% - Accent6 2 2 2 5" xfId="739" xr:uid="{B4B45B86-D826-4658-9B30-79DEB891893B}"/>
    <cellStyle name="20% - Accent6 2 2 2 5 2" xfId="5747" xr:uid="{F28FD08D-994F-4C12-9721-5F2A30A09BC3}"/>
    <cellStyle name="20% - Accent6 2 2 2 6" xfId="4022" xr:uid="{B34F481E-EE4B-4AAC-95A1-571B645B98AB}"/>
    <cellStyle name="20% - Accent6 2 2 3" xfId="406" xr:uid="{DE5268D6-045D-481E-96B0-89709AD5B575}"/>
    <cellStyle name="20% - Accent6 2 2 3 2" xfId="1266" xr:uid="{0DE0D25B-EA46-48C1-BBC5-450B6A3E4028}"/>
    <cellStyle name="20% - Accent6 2 2 3 2 2" xfId="2409" xr:uid="{3BC1D3F2-8AA5-476F-8CDB-0DE39CEE5610}"/>
    <cellStyle name="20% - Accent6 2 2 3 2 2 2" xfId="3708" xr:uid="{4F434C23-346E-4E3D-9EE7-EE299AA182E8}"/>
    <cellStyle name="20% - Accent6 2 2 3 2 2 2 2" xfId="7165" xr:uid="{8629897D-5CC4-4892-8D8C-F1BE062FED2F}"/>
    <cellStyle name="20% - Accent6 2 2 3 2 2 3" xfId="5426" xr:uid="{A579D0BA-BFA4-4BB3-8575-869BEAD6B76D}"/>
    <cellStyle name="20% - Accent6 2 2 3 2 3" xfId="2861" xr:uid="{A54033AB-5D78-4672-AF18-425B533DFC68}"/>
    <cellStyle name="20% - Accent6 2 2 3 2 3 2" xfId="6296" xr:uid="{33986AB6-5F3D-42B0-A6D5-E7B40947A075}"/>
    <cellStyle name="20% - Accent6 2 2 3 2 4" xfId="4556" xr:uid="{9A31F800-FC72-48DC-8E59-D2229F6A328A}"/>
    <cellStyle name="20% - Accent6 2 2 3 3" xfId="1723" xr:uid="{0E67EE3D-1A75-408A-BB1A-F14D2648A164}"/>
    <cellStyle name="20% - Accent6 2 2 3 3 2" xfId="3288" xr:uid="{5B49597D-57A0-41B8-A954-F0BA8351222E}"/>
    <cellStyle name="20% - Accent6 2 2 3 3 2 2" xfId="6730" xr:uid="{499AD234-0DED-4DB4-AB8D-92DDAB481BAD}"/>
    <cellStyle name="20% - Accent6 2 2 3 3 3" xfId="4991" xr:uid="{E65BBEE4-1A6D-47E3-927D-97E2C6B3AEE2}"/>
    <cellStyle name="20% - Accent6 2 2 3 4" xfId="853" xr:uid="{17147714-8119-4045-B31B-7F8917B9A19A}"/>
    <cellStyle name="20% - Accent6 2 2 3 4 2" xfId="5861" xr:uid="{6D017341-349C-4B10-B9B1-8B274F00FBD2}"/>
    <cellStyle name="20% - Accent6 2 2 3 5" xfId="4130" xr:uid="{4706A145-ADAA-4DE1-9AD7-401360E6BA3D}"/>
    <cellStyle name="20% - Accent6 2 2 4" xfId="1053" xr:uid="{92C38E01-1300-406A-8BAB-52D8FDAFB9A6}"/>
    <cellStyle name="20% - Accent6 2 2 4 2" xfId="2226" xr:uid="{7B10974A-2011-4E73-8A1F-AB142E22FC4B}"/>
    <cellStyle name="20% - Accent6 2 2 4 2 2" xfId="3499" xr:uid="{F93FD7B4-4BF1-416E-A50B-6AF3FDCAED1D}"/>
    <cellStyle name="20% - Accent6 2 2 4 2 2 2" xfId="6951" xr:uid="{2394EDA6-A3D0-4933-99FD-1ED89D4EE4BC}"/>
    <cellStyle name="20% - Accent6 2 2 4 2 3" xfId="5212" xr:uid="{C0CAD103-9566-4E67-A8E7-883A3B0EF887}"/>
    <cellStyle name="20% - Accent6 2 2 4 3" xfId="2656" xr:uid="{E19E6FD2-796F-44EF-8EE1-4A144361555E}"/>
    <cellStyle name="20% - Accent6 2 2 4 3 2" xfId="6082" xr:uid="{1E732550-AD1C-4334-B715-53AC5E3E0B28}"/>
    <cellStyle name="20% - Accent6 2 2 4 4" xfId="4343" xr:uid="{579A9A20-F67A-4F46-8D9D-52F29E2B448F}"/>
    <cellStyle name="20% - Accent6 2 2 5" xfId="1508" xr:uid="{90ED1149-34A0-4BD1-96A3-B783489B0854}"/>
    <cellStyle name="20% - Accent6 2 2 5 2" xfId="3082" xr:uid="{90FAF251-9551-47EA-9F18-3D028D698F42}"/>
    <cellStyle name="20% - Accent6 2 2 5 2 2" xfId="6517" xr:uid="{4DE107EE-6484-4727-88A8-1F916921BF4B}"/>
    <cellStyle name="20% - Accent6 2 2 5 3" xfId="4777" xr:uid="{368C3963-0DBF-420A-AEDC-FE2D10F0EC6B}"/>
    <cellStyle name="20% - Accent6 2 2 6" xfId="639" xr:uid="{DD3237E4-18E7-4710-AAD4-2BA5B260BFB9}"/>
    <cellStyle name="20% - Accent6 2 2 6 2" xfId="5647" xr:uid="{0CDBDCEE-25DA-4682-894C-13E7EAB298E2}"/>
    <cellStyle name="20% - Accent6 2 2 7" xfId="3931" xr:uid="{EA311E7F-2033-48CF-BF88-8CD02883A148}"/>
    <cellStyle name="20% - Accent6 2 3" xfId="260" xr:uid="{06CA1A85-1486-4643-A7C1-8DE12DD96CCD}"/>
    <cellStyle name="20% - Accent6 2 3 2" xfId="469" xr:uid="{C5577937-427E-4129-915B-A44DFB72293B}"/>
    <cellStyle name="20% - Accent6 2 3 2 2" xfId="1329" xr:uid="{C5A99445-0BF8-4BCA-A2F9-B4FD5AC762A0}"/>
    <cellStyle name="20% - Accent6 2 3 2 2 2" xfId="2469" xr:uid="{6CE0ACF2-BC6B-490E-B9E1-6A4F39EB4B09}"/>
    <cellStyle name="20% - Accent6 2 3 2 2 2 2" xfId="3771" xr:uid="{1F1FA038-F73C-4734-8819-178060E64236}"/>
    <cellStyle name="20% - Accent6 2 3 2 2 2 2 2" xfId="7228" xr:uid="{CA3FD34A-2D51-4FC7-9E47-E7B9F61CF8CB}"/>
    <cellStyle name="20% - Accent6 2 3 2 2 2 3" xfId="5489" xr:uid="{D81289A5-6514-4768-A5A5-FE922485BFB1}"/>
    <cellStyle name="20% - Accent6 2 3 2 2 3" xfId="2924" xr:uid="{732C3B5A-E3AE-4FD7-8354-AFB88C4B604E}"/>
    <cellStyle name="20% - Accent6 2 3 2 2 3 2" xfId="6359" xr:uid="{FB7AB07D-1F03-45D5-A5F8-E9C7C8C6F68B}"/>
    <cellStyle name="20% - Accent6 2 3 2 2 4" xfId="4619" xr:uid="{1E118F5E-26BD-46F6-967C-4BB4C83555B6}"/>
    <cellStyle name="20% - Accent6 2 3 2 3" xfId="1786" xr:uid="{77DE2B1D-F9DA-4C01-87D2-976BA4EDD956}"/>
    <cellStyle name="20% - Accent6 2 3 2 3 2" xfId="3348" xr:uid="{090B09CB-FB91-412A-856A-1DE8C3BEF8AB}"/>
    <cellStyle name="20% - Accent6 2 3 2 3 2 2" xfId="6793" xr:uid="{C1011007-89B5-4955-BC14-F0C8595A019E}"/>
    <cellStyle name="20% - Accent6 2 3 2 3 3" xfId="5054" xr:uid="{5E714FF3-5F3D-4FA8-9AD1-F4F7013EF884}"/>
    <cellStyle name="20% - Accent6 2 3 2 4" xfId="916" xr:uid="{AC0A78A5-011B-42FD-934F-58F5EDD8ACE1}"/>
    <cellStyle name="20% - Accent6 2 3 2 4 2" xfId="5924" xr:uid="{026D6D5D-15BF-4698-AC28-2AD179972511}"/>
    <cellStyle name="20% - Accent6 2 3 2 5" xfId="4190" xr:uid="{B1DC15EA-5B1D-4868-9290-3CB098A49B52}"/>
    <cellStyle name="20% - Accent6 2 3 3" xfId="1122" xr:uid="{B21C2120-4DC6-47AF-A2D5-2739EC7C2DEA}"/>
    <cellStyle name="20% - Accent6 2 3 3 2" xfId="2281" xr:uid="{0CEDA59C-7EE5-4F71-852C-6059AD00C80B}"/>
    <cellStyle name="20% - Accent6 2 3 3 2 2" xfId="3566" xr:uid="{501C37A5-D9D2-42CF-AD9E-C2850D9D7112}"/>
    <cellStyle name="20% - Accent6 2 3 3 2 2 2" xfId="7021" xr:uid="{475DAD35-20EA-4F6B-9A06-9D31B6CBFB12}"/>
    <cellStyle name="20% - Accent6 2 3 3 2 3" xfId="5282" xr:uid="{86566247-BA39-4DE5-A17C-DEEADFC2A815}"/>
    <cellStyle name="20% - Accent6 2 3 3 3" xfId="2719" xr:uid="{BFB91F14-B137-4DFD-A651-DD3DDF37C3E1}"/>
    <cellStyle name="20% - Accent6 2 3 3 3 2" xfId="6152" xr:uid="{A97FC112-9409-4377-A035-8B3553C8E940}"/>
    <cellStyle name="20% - Accent6 2 3 3 4" xfId="4412" xr:uid="{75EC234C-FCFC-4004-87E3-ADA93E842F21}"/>
    <cellStyle name="20% - Accent6 2 3 4" xfId="1596" xr:uid="{24EB7C60-77FC-4200-97FA-9552200F9BE3}"/>
    <cellStyle name="20% - Accent6 2 3 4 2" xfId="3150" xr:uid="{34E221E5-ED7B-48FD-BECE-012FA4C672B3}"/>
    <cellStyle name="20% - Accent6 2 3 4 2 2" xfId="6586" xr:uid="{19129840-1F4A-4ABA-A351-8666BD9E03CD}"/>
    <cellStyle name="20% - Accent6 2 3 4 3" xfId="4847" xr:uid="{3E812AD8-6CA2-4B6C-BA25-D16E384F5427}"/>
    <cellStyle name="20% - Accent6 2 3 5" xfId="709" xr:uid="{7F3651CE-D627-4178-AC77-F2BC33897C9B}"/>
    <cellStyle name="20% - Accent6 2 3 5 2" xfId="5717" xr:uid="{07108C8D-325E-4B44-8621-7D55223070DE}"/>
    <cellStyle name="20% - Accent6 2 3 6" xfId="3994" xr:uid="{247FE0C2-A090-4C3C-AB79-DA807E49012F}"/>
    <cellStyle name="20% - Accent6 2 4" xfId="374" xr:uid="{8F79FE65-E4FB-4FD1-9FEF-5A5DAB1994DC}"/>
    <cellStyle name="20% - Accent6 2 4 2" xfId="1236" xr:uid="{6B5ECF16-204A-42B1-83CC-D1F74975A308}"/>
    <cellStyle name="20% - Accent6 2 4 2 2" xfId="2381" xr:uid="{20BA62E2-AB50-4C19-9E77-E91D8C6A7739}"/>
    <cellStyle name="20% - Accent6 2 4 2 2 2" xfId="3678" xr:uid="{0EEF49D1-8812-4833-847B-68A4E4CFB4D8}"/>
    <cellStyle name="20% - Accent6 2 4 2 2 2 2" xfId="7135" xr:uid="{3401712F-A8DE-42FC-8EBB-9A45E8CFCD2C}"/>
    <cellStyle name="20% - Accent6 2 4 2 2 3" xfId="5396" xr:uid="{EF5185A8-2060-4E6E-892D-889A6B96E6EA}"/>
    <cellStyle name="20% - Accent6 2 4 2 3" xfId="2831" xr:uid="{3E01D542-3402-4243-91B7-DC3DAFF6DE86}"/>
    <cellStyle name="20% - Accent6 2 4 2 3 2" xfId="6266" xr:uid="{F5A3542B-FF1D-40F3-86D6-5218B6E233A0}"/>
    <cellStyle name="20% - Accent6 2 4 2 4" xfId="4526" xr:uid="{9674859B-7A8C-4106-8BEC-CEE2BE79F28B}"/>
    <cellStyle name="20% - Accent6 2 4 3" xfId="1692" xr:uid="{FBD4EC4C-B103-4110-8DB9-0B7F4E6CD1F6}"/>
    <cellStyle name="20% - Accent6 2 4 3 2" xfId="3260" xr:uid="{3C99C7C4-66E4-40CA-BD8E-7D4E2B629A80}"/>
    <cellStyle name="20% - Accent6 2 4 3 2 2" xfId="6700" xr:uid="{F9BFF668-A92D-4941-ABCA-E054CABC5D82}"/>
    <cellStyle name="20% - Accent6 2 4 3 3" xfId="4961" xr:uid="{27DE4188-0E09-4FD6-8CB1-A7008F2E3021}"/>
    <cellStyle name="20% - Accent6 2 4 4" xfId="823" xr:uid="{7CB0E931-0676-4D9B-8340-5894139AAE19}"/>
    <cellStyle name="20% - Accent6 2 4 4 2" xfId="5831" xr:uid="{ADBD1842-878C-4357-8CF4-EAE0456CC840}"/>
    <cellStyle name="20% - Accent6 2 4 5" xfId="4102" xr:uid="{DC19FB49-8D75-4211-B381-BA7FC61EDB02}"/>
    <cellStyle name="20% - Accent6 2 5" xfId="1023" xr:uid="{F5302BA7-B481-4663-8634-37745E8B2032}"/>
    <cellStyle name="20% - Accent6 2 5 2" xfId="2198" xr:uid="{88E1B8C4-2AD5-4DEA-A1EE-0C19705D6D9D}"/>
    <cellStyle name="20% - Accent6 2 5 2 2" xfId="3471" xr:uid="{E2D722B2-E368-48AE-BADC-5CD2326C2B0F}"/>
    <cellStyle name="20% - Accent6 2 5 2 2 2" xfId="6921" xr:uid="{D9998032-5973-4111-84A8-FF3120FA3A69}"/>
    <cellStyle name="20% - Accent6 2 5 2 3" xfId="5182" xr:uid="{C0326924-5105-4A2F-9A44-DEF48C21FA09}"/>
    <cellStyle name="20% - Accent6 2 5 3" xfId="2628" xr:uid="{70BCE4AC-D653-488D-BC61-F357AF5A3E36}"/>
    <cellStyle name="20% - Accent6 2 5 3 2" xfId="6052" xr:uid="{D19B1577-E1DD-49C2-BA4A-4DDBAB95D7B7}"/>
    <cellStyle name="20% - Accent6 2 5 4" xfId="4313" xr:uid="{B8FB90C4-0F79-4F70-AB6C-E4C209446597}"/>
    <cellStyle name="20% - Accent6 2 6" xfId="1477" xr:uid="{2CB52228-AF70-4DB1-83C5-EE608C7E2B67}"/>
    <cellStyle name="20% - Accent6 2 6 2" xfId="3052" xr:uid="{892A7C83-49AD-4F81-A278-5A93E619EC0B}"/>
    <cellStyle name="20% - Accent6 2 6 2 2" xfId="6487" xr:uid="{68A3849D-5CCE-48C0-B61E-3BC4BB873FBC}"/>
    <cellStyle name="20% - Accent6 2 6 3" xfId="4747" xr:uid="{39260FF8-0CE1-49AF-948F-204F544C204C}"/>
    <cellStyle name="20% - Accent6 2 7" xfId="609" xr:uid="{4A1A4646-BD26-423D-97B5-E76FA28E0D32}"/>
    <cellStyle name="20% - Accent6 2 7 2" xfId="5617" xr:uid="{E8F473E0-A43B-4C2B-8C6F-551D719603B7}"/>
    <cellStyle name="20% - Accent6 2 8" xfId="3903" xr:uid="{F18BDCDD-4CE4-494F-8529-140080A07B8D}"/>
    <cellStyle name="20% - Accent6 3" xfId="178" xr:uid="{F15AAE19-4415-4515-83A0-30D89D4E1F34}"/>
    <cellStyle name="20% - Accent6 3 2" xfId="275" xr:uid="{014F8A6E-17A6-4AB9-9347-F398BDF6EB9D}"/>
    <cellStyle name="20% - Accent6 3 2 2" xfId="484" xr:uid="{AE1F738D-27BE-4616-8E22-A827939ADAE9}"/>
    <cellStyle name="20% - Accent6 3 2 2 2" xfId="1344" xr:uid="{430F3AB4-C99C-44AF-953D-1A086C0260C8}"/>
    <cellStyle name="20% - Accent6 3 2 2 2 2" xfId="2483" xr:uid="{E78A15AE-38EA-4B9B-9209-93049132557E}"/>
    <cellStyle name="20% - Accent6 3 2 2 2 2 2" xfId="3786" xr:uid="{8FCA6943-CD55-48CA-BC6E-DA15A940CB90}"/>
    <cellStyle name="20% - Accent6 3 2 2 2 2 2 2" xfId="7243" xr:uid="{58742A87-AD24-4DC6-9946-70B4C56C04F2}"/>
    <cellStyle name="20% - Accent6 3 2 2 2 2 3" xfId="5504" xr:uid="{59ADBEAA-D847-4523-98C4-BAA3F72B7320}"/>
    <cellStyle name="20% - Accent6 3 2 2 2 3" xfId="2939" xr:uid="{BD3FDC5F-D0B7-4CF0-861F-2C02B2160776}"/>
    <cellStyle name="20% - Accent6 3 2 2 2 3 2" xfId="6374" xr:uid="{B2D16C50-C37E-46F0-B7F8-5E8142AE753D}"/>
    <cellStyle name="20% - Accent6 3 2 2 2 4" xfId="4634" xr:uid="{B136985A-F323-452E-9948-D1B1C9A6FE3F}"/>
    <cellStyle name="20% - Accent6 3 2 2 3" xfId="1801" xr:uid="{A06C1283-B2B4-4932-B8D8-18550E81CCC1}"/>
    <cellStyle name="20% - Accent6 3 2 2 3 2" xfId="3362" xr:uid="{868BDA6D-818D-4D2F-8357-117A9A8E2B76}"/>
    <cellStyle name="20% - Accent6 3 2 2 3 2 2" xfId="6808" xr:uid="{2897AB7D-10AE-4797-974E-00C3F85F1573}"/>
    <cellStyle name="20% - Accent6 3 2 2 3 3" xfId="5069" xr:uid="{8B6AD03F-9E3B-44AC-8CC1-7CC9F31024E5}"/>
    <cellStyle name="20% - Accent6 3 2 2 4" xfId="931" xr:uid="{0D74382C-0EB4-4DE2-A941-9E9DADE83D61}"/>
    <cellStyle name="20% - Accent6 3 2 2 4 2" xfId="5939" xr:uid="{6926D7B8-6506-417F-804A-848178A16A9E}"/>
    <cellStyle name="20% - Accent6 3 2 2 5" xfId="4204" xr:uid="{C821079D-248C-453A-90C8-CDE6BED9698D}"/>
    <cellStyle name="20% - Accent6 3 2 3" xfId="1137" xr:uid="{FF196CFE-3032-4D86-88D7-5AB1116832E0}"/>
    <cellStyle name="20% - Accent6 3 2 3 2" xfId="2295" xr:uid="{ABC11817-D081-4A0E-AF61-6A0794A7D61F}"/>
    <cellStyle name="20% - Accent6 3 2 3 2 2" xfId="3581" xr:uid="{D08E9CF7-2024-41F8-A4F8-FBC40E35EA87}"/>
    <cellStyle name="20% - Accent6 3 2 3 2 2 2" xfId="7036" xr:uid="{FC2FECD9-60BB-4C94-BD91-BCCC5D5884F0}"/>
    <cellStyle name="20% - Accent6 3 2 3 2 3" xfId="5297" xr:uid="{8DB076D0-2351-4C8E-9371-60DBD4AC3F37}"/>
    <cellStyle name="20% - Accent6 3 2 3 3" xfId="2734" xr:uid="{613DC7F7-8166-44A5-AFEF-26EF3AC9E65B}"/>
    <cellStyle name="20% - Accent6 3 2 3 3 2" xfId="6167" xr:uid="{21A1E6B2-F39B-44AF-A0FA-F6E90DAAEB5A}"/>
    <cellStyle name="20% - Accent6 3 2 3 4" xfId="4427" xr:uid="{FA97E3D3-FBE6-4EAE-A1B6-B602C028D95F}"/>
    <cellStyle name="20% - Accent6 3 2 4" xfId="1611" xr:uid="{D9806915-DB19-48AE-82DA-A7FBC108E722}"/>
    <cellStyle name="20% - Accent6 3 2 4 2" xfId="3164" xr:uid="{CE5C0DB7-C75A-4635-BDD8-CC053E569481}"/>
    <cellStyle name="20% - Accent6 3 2 4 2 2" xfId="6601" xr:uid="{E6CEF793-F685-4B22-909B-B10805681D44}"/>
    <cellStyle name="20% - Accent6 3 2 4 3" xfId="4862" xr:uid="{8BDB13A2-EB6C-4B64-AD79-80097674B207}"/>
    <cellStyle name="20% - Accent6 3 2 5" xfId="724" xr:uid="{E65DDE64-398A-4B24-B7B8-BFFD070930D8}"/>
    <cellStyle name="20% - Accent6 3 2 5 2" xfId="5732" xr:uid="{71CBBC75-F4AF-43F1-9CE7-E6BE9882129D}"/>
    <cellStyle name="20% - Accent6 3 2 6" xfId="4008" xr:uid="{A202089E-9EE4-47B1-A610-AA20BF919F00}"/>
    <cellStyle name="20% - Accent6 3 3" xfId="391" xr:uid="{1812C120-A6A0-4B0F-98F8-35810CF21237}"/>
    <cellStyle name="20% - Accent6 3 3 2" xfId="1251" xr:uid="{48EBCEF7-B2D3-4928-B9E1-36505A0C67CA}"/>
    <cellStyle name="20% - Accent6 3 3 2 2" xfId="2395" xr:uid="{54ABBA8D-9C3A-45A9-A680-4F5E747A2C29}"/>
    <cellStyle name="20% - Accent6 3 3 2 2 2" xfId="3693" xr:uid="{0291FBF9-AD6D-4913-8747-4CDE0D867762}"/>
    <cellStyle name="20% - Accent6 3 3 2 2 2 2" xfId="7150" xr:uid="{0C0CAF7F-D28D-4548-A31D-17A63265BEAB}"/>
    <cellStyle name="20% - Accent6 3 3 2 2 3" xfId="5411" xr:uid="{7ECC9FE1-A81B-4D7C-869B-AC4D03D30B63}"/>
    <cellStyle name="20% - Accent6 3 3 2 3" xfId="2846" xr:uid="{5B875E8B-4B39-4D37-8449-239FEB8012C8}"/>
    <cellStyle name="20% - Accent6 3 3 2 3 2" xfId="6281" xr:uid="{D0EF67F1-4739-4650-87BF-04E8377433D6}"/>
    <cellStyle name="20% - Accent6 3 3 2 4" xfId="4541" xr:uid="{B2020F0E-4CEC-4D03-A192-3063FE6482BF}"/>
    <cellStyle name="20% - Accent6 3 3 3" xfId="1708" xr:uid="{21986B31-9756-4C68-92C4-D29809E51AFF}"/>
    <cellStyle name="20% - Accent6 3 3 3 2" xfId="3274" xr:uid="{AAF5308C-756F-4817-8E04-3F073AD87506}"/>
    <cellStyle name="20% - Accent6 3 3 3 2 2" xfId="6715" xr:uid="{440E31F9-F217-4E23-9F07-5FA2D5FDFC8D}"/>
    <cellStyle name="20% - Accent6 3 3 3 3" xfId="4976" xr:uid="{75878C61-BF9F-4CFD-B911-AA1CD8742B0D}"/>
    <cellStyle name="20% - Accent6 3 3 4" xfId="838" xr:uid="{2FDA9C2D-5635-4079-AE69-9CA79598768F}"/>
    <cellStyle name="20% - Accent6 3 3 4 2" xfId="5846" xr:uid="{C4B34E2A-8BE2-48A8-AD40-8E172E77D780}"/>
    <cellStyle name="20% - Accent6 3 3 5" xfId="4116" xr:uid="{17C6D5BA-86B4-4FE7-8D3A-BCF9F220EA1F}"/>
    <cellStyle name="20% - Accent6 3 4" xfId="1038" xr:uid="{BDAB8F56-D403-4E18-AF79-06456591537D}"/>
    <cellStyle name="20% - Accent6 3 4 2" xfId="2212" xr:uid="{3CE5B646-ABC7-4AA8-85CC-FC353229B07A}"/>
    <cellStyle name="20% - Accent6 3 4 2 2" xfId="3485" xr:uid="{08601979-5EC7-44BE-9909-76CFEC0158B3}"/>
    <cellStyle name="20% - Accent6 3 4 2 2 2" xfId="6936" xr:uid="{BEBE3A75-1224-4279-A9B5-E2DC618501A5}"/>
    <cellStyle name="20% - Accent6 3 4 2 3" xfId="5197" xr:uid="{AA1D4CCB-E442-476F-BA41-87A505762153}"/>
    <cellStyle name="20% - Accent6 3 4 3" xfId="2642" xr:uid="{EDE4A35E-1D2D-445A-8DEE-003184B0F87C}"/>
    <cellStyle name="20% - Accent6 3 4 3 2" xfId="6067" xr:uid="{8225A8AA-4ADC-43CD-8D82-5B136964D4C3}"/>
    <cellStyle name="20% - Accent6 3 4 4" xfId="4328" xr:uid="{E1F82E7A-BAA0-4332-8798-A6140A94432E}"/>
    <cellStyle name="20% - Accent6 3 5" xfId="1493" xr:uid="{073A1A3C-40F8-4268-8BC8-7B14E2215958}"/>
    <cellStyle name="20% - Accent6 3 5 2" xfId="3067" xr:uid="{E38EFDE5-23FB-42F7-9BF6-541D75953987}"/>
    <cellStyle name="20% - Accent6 3 5 2 2" xfId="6502" xr:uid="{61BBC274-F49F-4769-A7E6-B4C06756CEE9}"/>
    <cellStyle name="20% - Accent6 3 5 3" xfId="4762" xr:uid="{BB1E2E7A-6BF3-4502-8559-5AD7BC7F1CB0}"/>
    <cellStyle name="20% - Accent6 3 6" xfId="624" xr:uid="{179BC397-C208-41EB-A091-A53E70366886}"/>
    <cellStyle name="20% - Accent6 3 6 2" xfId="5632" xr:uid="{65FA2E51-06F0-47F8-A58F-17B3629799CB}"/>
    <cellStyle name="20% - Accent6 3 7" xfId="3917" xr:uid="{CFB3D2F0-BB1B-410E-99DC-99E89C8BE451}"/>
    <cellStyle name="20% - Accent6 4" xfId="245" xr:uid="{4482F917-791E-4A11-8E41-B61767DD052C}"/>
    <cellStyle name="20% - Accent6 4 2" xfId="454" xr:uid="{E6B13A77-CEF4-4667-8A2B-1FA012234364}"/>
    <cellStyle name="20% - Accent6 4 2 2" xfId="1314" xr:uid="{6AC3BFE2-6A04-48F3-AABD-4B3F3500681C}"/>
    <cellStyle name="20% - Accent6 4 2 2 2" xfId="2455" xr:uid="{A8C70CC8-9292-4B63-9824-61313BF3A11E}"/>
    <cellStyle name="20% - Accent6 4 2 2 2 2" xfId="3756" xr:uid="{B69EC3AD-F815-4383-B971-D18484C87017}"/>
    <cellStyle name="20% - Accent6 4 2 2 2 2 2" xfId="7213" xr:uid="{12300609-0AB6-42B7-8317-3389D0881463}"/>
    <cellStyle name="20% - Accent6 4 2 2 2 3" xfId="5474" xr:uid="{1497170C-802B-4D5E-BC84-F5F4A83E8EF9}"/>
    <cellStyle name="20% - Accent6 4 2 2 3" xfId="2909" xr:uid="{47852F74-F44C-4F34-9199-A52F9B8282F3}"/>
    <cellStyle name="20% - Accent6 4 2 2 3 2" xfId="6344" xr:uid="{E8CDE8AF-93E8-4EF9-8B4F-0A94D931F241}"/>
    <cellStyle name="20% - Accent6 4 2 2 4" xfId="4604" xr:uid="{20739B82-76D6-4966-A628-96D48FD092A7}"/>
    <cellStyle name="20% - Accent6 4 2 3" xfId="1771" xr:uid="{15FD8AD5-28F5-4EE7-AD0C-88BCCB78FC06}"/>
    <cellStyle name="20% - Accent6 4 2 3 2" xfId="3334" xr:uid="{CEFA5A41-9812-4A22-B1CF-8B438C40C015}"/>
    <cellStyle name="20% - Accent6 4 2 3 2 2" xfId="6778" xr:uid="{70ACFB4B-3129-4499-AD14-FF1D38B5EC51}"/>
    <cellStyle name="20% - Accent6 4 2 3 3" xfId="5039" xr:uid="{0FC4FBCF-7913-4E1D-8EA0-2C9558022A3A}"/>
    <cellStyle name="20% - Accent6 4 2 4" xfId="901" xr:uid="{0CAE1ACE-5627-47C9-B2B1-C3E9FB8B896B}"/>
    <cellStyle name="20% - Accent6 4 2 4 2" xfId="5909" xr:uid="{49C72B47-4BB7-48A7-9E5D-332A6C208C3A}"/>
    <cellStyle name="20% - Accent6 4 2 5" xfId="4176" xr:uid="{CF72899B-C7CF-4C5B-BAB9-B493955CD455}"/>
    <cellStyle name="20% - Accent6 4 3" xfId="1107" xr:uid="{340B7B6F-CBEB-4043-BD98-E064D77017CA}"/>
    <cellStyle name="20% - Accent6 4 3 2" xfId="2267" xr:uid="{9E7D71A4-4DC3-4A10-B726-E5AC0CF203D0}"/>
    <cellStyle name="20% - Accent6 4 3 2 2" xfId="3552" xr:uid="{537D8B10-09E2-4B6B-8561-4670FDDB32AE}"/>
    <cellStyle name="20% - Accent6 4 3 2 2 2" xfId="7006" xr:uid="{E9169D0C-CDF6-4C70-9CF2-3F86DD8C1137}"/>
    <cellStyle name="20% - Accent6 4 3 2 3" xfId="5267" xr:uid="{075E265B-6E39-4AF8-A3E6-7CC33EF0CBEA}"/>
    <cellStyle name="20% - Accent6 4 3 3" xfId="2705" xr:uid="{668C2D86-1889-4AF2-BC2A-7EAABA3FC5FA}"/>
    <cellStyle name="20% - Accent6 4 3 3 2" xfId="6137" xr:uid="{250C88DE-5B38-4EE0-88F8-88B56C6799FD}"/>
    <cellStyle name="20% - Accent6 4 3 4" xfId="4397" xr:uid="{75023433-84FD-4C94-B14A-CF34CB93915B}"/>
    <cellStyle name="20% - Accent6 4 4" xfId="1581" xr:uid="{E728693D-F2D6-4491-9307-0FE647981DDA}"/>
    <cellStyle name="20% - Accent6 4 4 2" xfId="3135" xr:uid="{FBB5ABA1-CC56-4074-BAF6-1CFF7C7454A3}"/>
    <cellStyle name="20% - Accent6 4 4 2 2" xfId="6571" xr:uid="{E58624CD-9416-4278-93CC-471B15940A04}"/>
    <cellStyle name="20% - Accent6 4 4 3" xfId="4832" xr:uid="{16B946F5-7EFA-4B76-BD6F-B47E0F92D082}"/>
    <cellStyle name="20% - Accent6 4 5" xfId="694" xr:uid="{577A5778-0B26-40C4-85CB-4384555E185A}"/>
    <cellStyle name="20% - Accent6 4 5 2" xfId="5702" xr:uid="{033A6322-4758-4BCE-BC48-1A964F25599B}"/>
    <cellStyle name="20% - Accent6 4 6" xfId="3980" xr:uid="{F42407D4-7BE0-4451-8FE5-1B1A4159E5C2}"/>
    <cellStyle name="20% - Accent6 5" xfId="356" xr:uid="{E480D3A4-191A-475B-96E4-65FA8536186D}"/>
    <cellStyle name="20% - Accent6 5 2" xfId="1221" xr:uid="{374453A5-DA8F-47C0-8EC1-987F6692CC13}"/>
    <cellStyle name="20% - Accent6 5 2 2" xfId="2367" xr:uid="{21F1BD48-5B5C-41EC-B274-9A20135F3050}"/>
    <cellStyle name="20% - Accent6 5 2 2 2" xfId="3664" xr:uid="{3C0C19AF-C256-46F8-A62D-B90BFFE39D57}"/>
    <cellStyle name="20% - Accent6 5 2 2 2 2" xfId="7120" xr:uid="{1303BB25-5A62-43DF-9D86-984E82AFA399}"/>
    <cellStyle name="20% - Accent6 5 2 2 3" xfId="5381" xr:uid="{6005ACBF-D8AD-4883-BDD3-07095E35117F}"/>
    <cellStyle name="20% - Accent6 5 2 3" xfId="2817" xr:uid="{3AC2FDDC-8ECA-43C4-AB9C-568E2F6C887D}"/>
    <cellStyle name="20% - Accent6 5 2 3 2" xfId="6251" xr:uid="{52F9C40C-F5AC-4D03-AAA8-4674E0B3CD74}"/>
    <cellStyle name="20% - Accent6 5 2 4" xfId="4511" xr:uid="{11241B38-650F-43BF-951F-984BC3A05562}"/>
    <cellStyle name="20% - Accent6 5 3" xfId="1675" xr:uid="{3D2C9544-5FFB-4DE6-9AEA-C5ED8F29DD81}"/>
    <cellStyle name="20% - Accent6 5 3 2" xfId="3245" xr:uid="{17962F4E-9746-40E7-B8A1-E44474EF045C}"/>
    <cellStyle name="20% - Accent6 5 3 2 2" xfId="6685" xr:uid="{2B87767D-35F5-4571-B655-B84EA7770C81}"/>
    <cellStyle name="20% - Accent6 5 3 3" xfId="4946" xr:uid="{11662760-4636-4627-B4C7-F95627C60B75}"/>
    <cellStyle name="20% - Accent6 5 4" xfId="808" xr:uid="{9B49D239-5940-493C-AE4D-AA6D4DAF21C8}"/>
    <cellStyle name="20% - Accent6 5 4 2" xfId="5816" xr:uid="{3DAD5BB9-11C2-4BD7-B8E7-2CBA0B0DDA42}"/>
    <cellStyle name="20% - Accent6 5 5" xfId="4088" xr:uid="{1AFADAAD-8730-46D6-BAE5-13554C873D2F}"/>
    <cellStyle name="20% - Accent6 6" xfId="1008" xr:uid="{1B4BD4E3-67E0-415E-8946-D5CB595443E8}"/>
    <cellStyle name="20% - Accent6 6 2" xfId="2184" xr:uid="{91CC5992-E01C-4CB3-AF2B-C322336686AA}"/>
    <cellStyle name="20% - Accent6 6 2 2" xfId="3457" xr:uid="{410E0AA7-A6AD-4301-B4A5-B276C5CD1367}"/>
    <cellStyle name="20% - Accent6 6 2 2 2" xfId="6906" xr:uid="{05EA2CB9-2A2F-44D4-8A64-A021A3E81C1E}"/>
    <cellStyle name="20% - Accent6 6 2 3" xfId="5167" xr:uid="{7B81FE97-F32D-4B0C-A350-1B6FE1283338}"/>
    <cellStyle name="20% - Accent6 6 3" xfId="2614" xr:uid="{2079D31E-880E-43AA-AC48-DC1ACAFF9CDD}"/>
    <cellStyle name="20% - Accent6 6 3 2" xfId="6037" xr:uid="{C49D99B2-D4CA-4B0F-93AA-77D1F77207F1}"/>
    <cellStyle name="20% - Accent6 6 4" xfId="4299" xr:uid="{B8DDE1DD-290E-4B51-BDF5-BED5FEFB84FA}"/>
    <cellStyle name="20% - Accent6 7" xfId="1457" xr:uid="{98943BF5-49E1-4A81-8A2A-BA54D88783DC}"/>
    <cellStyle name="20% - Accent6 7 2" xfId="3037" xr:uid="{41CBD5A7-A906-4ECA-8C1B-6C682072FE85}"/>
    <cellStyle name="20% - Accent6 7 2 2" xfId="6472" xr:uid="{C9AC702A-8944-4E96-BA80-48FD478ED0DD}"/>
    <cellStyle name="20% - Accent6 7 3" xfId="4732" xr:uid="{16D62908-F118-452E-8CA2-5FCB320513D4}"/>
    <cellStyle name="20% - Accent6 8" xfId="594" xr:uid="{86FF9C0F-9790-4F53-9E51-49E40E68BA35}"/>
    <cellStyle name="20% - Accent6 8 2" xfId="5602" xr:uid="{651F95D0-AB56-4B44-B44D-AA2F5ABC70D6}"/>
    <cellStyle name="20% - Accent6 9" xfId="3889" xr:uid="{FA8DA757-1054-4898-804E-8FCDBFA707CF}"/>
    <cellStyle name="40% - Accent1" xfId="80" builtinId="31" customBuiltin="1"/>
    <cellStyle name="40% - Accent1 2" xfId="150" xr:uid="{EFAB59A9-83F5-438C-9E0F-E89A5E6BB6D1}"/>
    <cellStyle name="40% - Accent1 2 2" xfId="184" xr:uid="{2E91759B-8372-4CEF-8843-42371884CFA5}"/>
    <cellStyle name="40% - Accent1 2 2 2" xfId="281" xr:uid="{C825CAF1-4C0A-4AB8-A307-1549C30C5B41}"/>
    <cellStyle name="40% - Accent1 2 2 2 2" xfId="490" xr:uid="{4D9CD8E1-2302-4CAB-B176-917CF482AB40}"/>
    <cellStyle name="40% - Accent1 2 2 2 2 2" xfId="1350" xr:uid="{A83939AF-69A3-45BA-B8D5-0C7795E989CD}"/>
    <cellStyle name="40% - Accent1 2 2 2 2 2 2" xfId="2488" xr:uid="{505AEFAD-467B-4973-9924-D6FD57F0A330}"/>
    <cellStyle name="40% - Accent1 2 2 2 2 2 2 2" xfId="3792" xr:uid="{1B196460-7216-4DD7-8EB1-F83FE76DE97F}"/>
    <cellStyle name="40% - Accent1 2 2 2 2 2 2 2 2" xfId="7249" xr:uid="{8C12341D-9D59-48DC-8768-9943EC41C3EF}"/>
    <cellStyle name="40% - Accent1 2 2 2 2 2 2 3" xfId="5510" xr:uid="{2C205DB1-8702-4D13-86D2-5486BD6380B7}"/>
    <cellStyle name="40% - Accent1 2 2 2 2 2 3" xfId="2945" xr:uid="{C2A655D0-BD7A-4B89-BE9E-7ABE076EDC9D}"/>
    <cellStyle name="40% - Accent1 2 2 2 2 2 3 2" xfId="6380" xr:uid="{BA188DE9-7F30-497D-A5CD-5ED3FEB0FE7D}"/>
    <cellStyle name="40% - Accent1 2 2 2 2 2 4" xfId="4640" xr:uid="{C7A6F0F6-3B33-40C2-BF0F-6E53383939F1}"/>
    <cellStyle name="40% - Accent1 2 2 2 2 3" xfId="1807" xr:uid="{9D1C1089-08A8-4B4A-BAA7-4FA9E94C3230}"/>
    <cellStyle name="40% - Accent1 2 2 2 2 3 2" xfId="3367" xr:uid="{C7A2F61D-B9BA-4326-BD4F-52BB8539CA77}"/>
    <cellStyle name="40% - Accent1 2 2 2 2 3 2 2" xfId="6814" xr:uid="{F7CD6D1A-4995-42D7-ABEE-07E0113AF523}"/>
    <cellStyle name="40% - Accent1 2 2 2 2 3 3" xfId="5075" xr:uid="{B3E4669B-344B-4757-A9AE-3E30BC6D774C}"/>
    <cellStyle name="40% - Accent1 2 2 2 2 4" xfId="937" xr:uid="{B95A4C4A-DDD2-41FD-B2D6-80C25F02FC7F}"/>
    <cellStyle name="40% - Accent1 2 2 2 2 4 2" xfId="5945" xr:uid="{7FC3A1F9-4FD3-4818-A6C4-FFA07DC3FF56}"/>
    <cellStyle name="40% - Accent1 2 2 2 2 5" xfId="4209" xr:uid="{C655B320-D55A-4561-83E5-2C42115BE53A}"/>
    <cellStyle name="40% - Accent1 2 2 2 3" xfId="1143" xr:uid="{81E760A0-3EE4-4E50-BD39-4547EC1D0CD2}"/>
    <cellStyle name="40% - Accent1 2 2 2 3 2" xfId="2300" xr:uid="{13515789-B19A-46DC-8A9D-7ACB47BBDD9E}"/>
    <cellStyle name="40% - Accent1 2 2 2 3 2 2" xfId="3587" xr:uid="{19A04697-5404-45A3-9230-11C5F223BDE2}"/>
    <cellStyle name="40% - Accent1 2 2 2 3 2 2 2" xfId="7042" xr:uid="{80544F53-BD3C-4B09-B922-95DFD4B34B2B}"/>
    <cellStyle name="40% - Accent1 2 2 2 3 2 3" xfId="5303" xr:uid="{F0227BE8-066C-4F55-91DF-FC364C6A444D}"/>
    <cellStyle name="40% - Accent1 2 2 2 3 3" xfId="2740" xr:uid="{6F0A1D6F-AA65-46E9-B458-E1A089E55C5B}"/>
    <cellStyle name="40% - Accent1 2 2 2 3 3 2" xfId="6173" xr:uid="{431DF6F1-9585-4F59-A0DE-C89EB2CE1B83}"/>
    <cellStyle name="40% - Accent1 2 2 2 3 4" xfId="4433" xr:uid="{87975C28-0E90-43B2-80AC-0EC1E1503269}"/>
    <cellStyle name="40% - Accent1 2 2 2 4" xfId="1617" xr:uid="{12201D6E-7228-470A-A10B-B949B6131F47}"/>
    <cellStyle name="40% - Accent1 2 2 2 4 2" xfId="3169" xr:uid="{74525DC0-C0B0-44BB-8C72-2BA1E1CEBB49}"/>
    <cellStyle name="40% - Accent1 2 2 2 4 2 2" xfId="6607" xr:uid="{982CAB2F-57F3-4627-B96C-83A232D97EDE}"/>
    <cellStyle name="40% - Accent1 2 2 2 4 3" xfId="4868" xr:uid="{5D845566-69A6-48C8-BCF7-D8AA6A08FAE2}"/>
    <cellStyle name="40% - Accent1 2 2 2 5" xfId="730" xr:uid="{2004F9C9-8E7F-4F8D-B661-70434DEE4A51}"/>
    <cellStyle name="40% - Accent1 2 2 2 5 2" xfId="5738" xr:uid="{BACF3058-435E-43DB-9668-712939169D30}"/>
    <cellStyle name="40% - Accent1 2 2 2 6" xfId="4013" xr:uid="{B8975412-A3DC-44A3-BC18-389951762ED6}"/>
    <cellStyle name="40% - Accent1 2 2 3" xfId="397" xr:uid="{255501D8-1DD3-4DA5-9250-3682F05E1035}"/>
    <cellStyle name="40% - Accent1 2 2 3 2" xfId="1257" xr:uid="{0F953C1F-6684-4D8A-8F52-B812DBFC1BF0}"/>
    <cellStyle name="40% - Accent1 2 2 3 2 2" xfId="2400" xr:uid="{832FB0A8-244D-4C5A-AE78-8900D895D8A8}"/>
    <cellStyle name="40% - Accent1 2 2 3 2 2 2" xfId="3699" xr:uid="{4D3BF5A4-C431-40D6-8545-3E7AB5E17C6C}"/>
    <cellStyle name="40% - Accent1 2 2 3 2 2 2 2" xfId="7156" xr:uid="{E310FCF3-6E07-41A3-8358-AE67403F491C}"/>
    <cellStyle name="40% - Accent1 2 2 3 2 2 3" xfId="5417" xr:uid="{947D72AC-B65B-4662-8F0F-C13C677B7DA9}"/>
    <cellStyle name="40% - Accent1 2 2 3 2 3" xfId="2852" xr:uid="{3B6E38A0-C7B6-4CC4-A5E6-1F964A39F418}"/>
    <cellStyle name="40% - Accent1 2 2 3 2 3 2" xfId="6287" xr:uid="{E1A0C5C9-1EC3-4534-A825-F8C7981C40FD}"/>
    <cellStyle name="40% - Accent1 2 2 3 2 4" xfId="4547" xr:uid="{CB5BB658-E885-43F6-8F5D-C4795C4AFB9D}"/>
    <cellStyle name="40% - Accent1 2 2 3 3" xfId="1714" xr:uid="{04BA8A55-9389-4DC7-8C4D-B8D57FD9041A}"/>
    <cellStyle name="40% - Accent1 2 2 3 3 2" xfId="3279" xr:uid="{867EF13A-B650-4AC4-A775-C2AB5C15E018}"/>
    <cellStyle name="40% - Accent1 2 2 3 3 2 2" xfId="6721" xr:uid="{FCA1AD28-6AAA-4207-B14B-05E005386A88}"/>
    <cellStyle name="40% - Accent1 2 2 3 3 3" xfId="4982" xr:uid="{560ED98B-BF22-4AFA-9291-A68CBBAA1075}"/>
    <cellStyle name="40% - Accent1 2 2 3 4" xfId="844" xr:uid="{11ACF953-A987-4A28-ACA5-0BA84DB5217A}"/>
    <cellStyle name="40% - Accent1 2 2 3 4 2" xfId="5852" xr:uid="{65C66C90-19AC-4721-A327-0CEA2AE7B869}"/>
    <cellStyle name="40% - Accent1 2 2 3 5" xfId="4121" xr:uid="{EFE3D1FE-DFF8-43AD-9A99-DD8DC1DFCB6B}"/>
    <cellStyle name="40% - Accent1 2 2 4" xfId="1044" xr:uid="{CE414571-17D1-4C95-9B91-B10E095ACCB2}"/>
    <cellStyle name="40% - Accent1 2 2 4 2" xfId="2217" xr:uid="{F6837CD8-AF21-47F0-AA4B-7D6641BD3DBF}"/>
    <cellStyle name="40% - Accent1 2 2 4 2 2" xfId="3490" xr:uid="{6D5E62C2-3D7E-4113-82C6-ACEAC8625EDF}"/>
    <cellStyle name="40% - Accent1 2 2 4 2 2 2" xfId="6942" xr:uid="{CF499CDB-ED50-43C8-8936-332716627878}"/>
    <cellStyle name="40% - Accent1 2 2 4 2 3" xfId="5203" xr:uid="{D1216B5F-CEED-42FB-80F0-6AD871E670CB}"/>
    <cellStyle name="40% - Accent1 2 2 4 3" xfId="2647" xr:uid="{9A1552A3-497C-4F4B-BB4D-B099DDBBEF5D}"/>
    <cellStyle name="40% - Accent1 2 2 4 3 2" xfId="6073" xr:uid="{44156E43-30FE-4B37-8ABE-FCA72D7CCE0A}"/>
    <cellStyle name="40% - Accent1 2 2 4 4" xfId="4334" xr:uid="{6273E850-99AE-42C5-9C42-A5651C323792}"/>
    <cellStyle name="40% - Accent1 2 2 5" xfId="1499" xr:uid="{F2FE8828-A428-46E2-B57F-D6E317D1E599}"/>
    <cellStyle name="40% - Accent1 2 2 5 2" xfId="3073" xr:uid="{8463DCAA-2056-498D-B8FD-FEA712E44357}"/>
    <cellStyle name="40% - Accent1 2 2 5 2 2" xfId="6508" xr:uid="{A36B20AC-6E87-4D84-B277-FF105285CAA4}"/>
    <cellStyle name="40% - Accent1 2 2 5 3" xfId="4768" xr:uid="{0CFFCDD7-6C1D-4D96-BD25-A3350D6061A3}"/>
    <cellStyle name="40% - Accent1 2 2 6" xfId="630" xr:uid="{477B312A-37EE-4BA5-82AA-32D8D9831CA4}"/>
    <cellStyle name="40% - Accent1 2 2 6 2" xfId="5638" xr:uid="{86F03BC9-75EE-4FE8-81DD-012790E3D8F2}"/>
    <cellStyle name="40% - Accent1 2 2 7" xfId="3922" xr:uid="{A25DE3D1-78ED-438F-901A-07923058B9E4}"/>
    <cellStyle name="40% - Accent1 2 3" xfId="251" xr:uid="{C9292603-10D4-4ED2-A453-2682AF266DF7}"/>
    <cellStyle name="40% - Accent1 2 3 2" xfId="460" xr:uid="{28798FDA-EFA7-4D30-A58A-A1742E39ABF7}"/>
    <cellStyle name="40% - Accent1 2 3 2 2" xfId="1320" xr:uid="{E9947F06-132B-46EA-B7E6-2EAE5E70E6C1}"/>
    <cellStyle name="40% - Accent1 2 3 2 2 2" xfId="2460" xr:uid="{6938E2B6-D5DC-4523-9489-E9146FD8B7BD}"/>
    <cellStyle name="40% - Accent1 2 3 2 2 2 2" xfId="3762" xr:uid="{DA87C6B6-B53D-4BB9-B47F-387B8ED9BB20}"/>
    <cellStyle name="40% - Accent1 2 3 2 2 2 2 2" xfId="7219" xr:uid="{AE93B47B-9122-4911-A8F4-2C8BE31AAE9A}"/>
    <cellStyle name="40% - Accent1 2 3 2 2 2 3" xfId="5480" xr:uid="{53ADD9F4-8B7E-4A9B-BB10-6E7631368441}"/>
    <cellStyle name="40% - Accent1 2 3 2 2 3" xfId="2915" xr:uid="{472D2E23-512D-4B82-B52F-DF2853509C61}"/>
    <cellStyle name="40% - Accent1 2 3 2 2 3 2" xfId="6350" xr:uid="{671FF69B-4CD5-4E9E-8F01-9ECD12E2E6BE}"/>
    <cellStyle name="40% - Accent1 2 3 2 2 4" xfId="4610" xr:uid="{38A88B14-F88D-45D3-A975-5E8BA1093D24}"/>
    <cellStyle name="40% - Accent1 2 3 2 3" xfId="1777" xr:uid="{799F467C-F890-4DC2-8BBC-F0B86C78494B}"/>
    <cellStyle name="40% - Accent1 2 3 2 3 2" xfId="3339" xr:uid="{B9217846-2762-4092-8CA8-9B989ABEA4B9}"/>
    <cellStyle name="40% - Accent1 2 3 2 3 2 2" xfId="6784" xr:uid="{257765F7-8C34-415D-AEA1-833D84454044}"/>
    <cellStyle name="40% - Accent1 2 3 2 3 3" xfId="5045" xr:uid="{BC5E9AB9-806C-43B2-B2B5-DCBFA710BF97}"/>
    <cellStyle name="40% - Accent1 2 3 2 4" xfId="907" xr:uid="{09514B48-9D92-491B-89E6-3096DA0B2E77}"/>
    <cellStyle name="40% - Accent1 2 3 2 4 2" xfId="5915" xr:uid="{9A421BBA-93D9-48E7-AB4E-0B737E03D89C}"/>
    <cellStyle name="40% - Accent1 2 3 2 5" xfId="4181" xr:uid="{AA36A5B7-352A-489C-978F-8F5A14E0F2BA}"/>
    <cellStyle name="40% - Accent1 2 3 3" xfId="1113" xr:uid="{8BBF58FA-3FF2-435D-AAD4-DB61E2C1605F}"/>
    <cellStyle name="40% - Accent1 2 3 3 2" xfId="2272" xr:uid="{7A1B06F8-86FD-456D-915F-3563210C30E8}"/>
    <cellStyle name="40% - Accent1 2 3 3 2 2" xfId="3557" xr:uid="{29D3F133-AEC4-42DD-BECF-9DE296D16E63}"/>
    <cellStyle name="40% - Accent1 2 3 3 2 2 2" xfId="7012" xr:uid="{FD76FFF5-A783-4184-A1A0-00469B602E54}"/>
    <cellStyle name="40% - Accent1 2 3 3 2 3" xfId="5273" xr:uid="{8BE50381-27CC-4233-B171-CC35486E5C7E}"/>
    <cellStyle name="40% - Accent1 2 3 3 3" xfId="2710" xr:uid="{A9426A40-C394-4B8E-BA30-0732F13E2B72}"/>
    <cellStyle name="40% - Accent1 2 3 3 3 2" xfId="6143" xr:uid="{603481C5-1E0F-4E40-A891-AA3B05EB512D}"/>
    <cellStyle name="40% - Accent1 2 3 3 4" xfId="4403" xr:uid="{5D88FAAC-D4D3-4C36-B8D0-D3510626474C}"/>
    <cellStyle name="40% - Accent1 2 3 4" xfId="1587" xr:uid="{133E64A4-FE82-4640-B455-7834A71AC288}"/>
    <cellStyle name="40% - Accent1 2 3 4 2" xfId="3141" xr:uid="{1CAC04B0-3209-4E33-9C22-96A070211DD6}"/>
    <cellStyle name="40% - Accent1 2 3 4 2 2" xfId="6577" xr:uid="{C22196C9-CAFF-43C6-B664-63CB22B1CE8A}"/>
    <cellStyle name="40% - Accent1 2 3 4 3" xfId="4838" xr:uid="{D6865366-B3BC-48DA-B0FB-497B5A5C7CB4}"/>
    <cellStyle name="40% - Accent1 2 3 5" xfId="700" xr:uid="{CE9BE131-4C54-47CF-9CAB-199A44FA882C}"/>
    <cellStyle name="40% - Accent1 2 3 5 2" xfId="5708" xr:uid="{552528ED-4317-4200-B751-EE1FC758B465}"/>
    <cellStyle name="40% - Accent1 2 3 6" xfId="3985" xr:uid="{5DDDFA15-E14F-4816-A086-B581E9F82E10}"/>
    <cellStyle name="40% - Accent1 2 4" xfId="365" xr:uid="{C52E9B41-63CC-4DDE-8A7E-E4E31EDB1539}"/>
    <cellStyle name="40% - Accent1 2 4 2" xfId="1227" xr:uid="{05FDED34-1073-4B87-9918-CD5E95140BF8}"/>
    <cellStyle name="40% - Accent1 2 4 2 2" xfId="2372" xr:uid="{3C654DE6-0FE3-42C3-8C4C-1741DFE507C7}"/>
    <cellStyle name="40% - Accent1 2 4 2 2 2" xfId="3669" xr:uid="{501F8B91-5786-4EB7-A438-A74EA273C831}"/>
    <cellStyle name="40% - Accent1 2 4 2 2 2 2" xfId="7126" xr:uid="{43F5E4AE-E916-4182-82C2-4CB7332339E5}"/>
    <cellStyle name="40% - Accent1 2 4 2 2 3" xfId="5387" xr:uid="{39490990-0D42-4BCB-9807-8FB53743D353}"/>
    <cellStyle name="40% - Accent1 2 4 2 3" xfId="2822" xr:uid="{716ACA28-0038-4ADA-A1F7-47796AEE5BCD}"/>
    <cellStyle name="40% - Accent1 2 4 2 3 2" xfId="6257" xr:uid="{18F029FC-3F04-482B-B099-7C3E91FBEDE7}"/>
    <cellStyle name="40% - Accent1 2 4 2 4" xfId="4517" xr:uid="{FED6DB84-DF9C-4AF9-B682-A01D2EF51579}"/>
    <cellStyle name="40% - Accent1 2 4 3" xfId="1683" xr:uid="{3C907613-9C9D-4191-97B8-5894584992D8}"/>
    <cellStyle name="40% - Accent1 2 4 3 2" xfId="3251" xr:uid="{0778046C-ADFB-4768-BD96-D7A9A6E6B11D}"/>
    <cellStyle name="40% - Accent1 2 4 3 2 2" xfId="6691" xr:uid="{B9A6CEF6-3B41-4A37-AE63-495EC0335F83}"/>
    <cellStyle name="40% - Accent1 2 4 3 3" xfId="4952" xr:uid="{928A5C4B-AFE9-409E-A34A-F875CB80DB1D}"/>
    <cellStyle name="40% - Accent1 2 4 4" xfId="814" xr:uid="{9BACBDF6-C98F-4D5A-9B1C-3E32C609D786}"/>
    <cellStyle name="40% - Accent1 2 4 4 2" xfId="5822" xr:uid="{AD00BE1A-E1DD-4D93-B716-8524101F6779}"/>
    <cellStyle name="40% - Accent1 2 4 5" xfId="4093" xr:uid="{A8004CEA-3CAA-4854-A59D-5BEF86761F24}"/>
    <cellStyle name="40% - Accent1 2 5" xfId="1014" xr:uid="{2253C908-8EEE-497E-9709-65C59C31191C}"/>
    <cellStyle name="40% - Accent1 2 5 2" xfId="2189" xr:uid="{10B5FB17-33AF-490E-A2CF-8CF6A37C4C71}"/>
    <cellStyle name="40% - Accent1 2 5 2 2" xfId="3462" xr:uid="{A77AAB68-3296-4EA3-8576-98BFCCE3ABEC}"/>
    <cellStyle name="40% - Accent1 2 5 2 2 2" xfId="6912" xr:uid="{E6689570-BBEB-4FE2-AD75-7D957297DDF1}"/>
    <cellStyle name="40% - Accent1 2 5 2 3" xfId="5173" xr:uid="{77EE2120-4781-40D4-9AD6-BFA753F46FA8}"/>
    <cellStyle name="40% - Accent1 2 5 3" xfId="2619" xr:uid="{6E8B6E34-E614-4429-A616-3CAE5B80D8A2}"/>
    <cellStyle name="40% - Accent1 2 5 3 2" xfId="6043" xr:uid="{203834F8-A126-4058-92FC-319D3AB62FA3}"/>
    <cellStyle name="40% - Accent1 2 5 4" xfId="4304" xr:uid="{E6C4E1EB-04C7-46D4-9946-1016396C4127}"/>
    <cellStyle name="40% - Accent1 2 6" xfId="1468" xr:uid="{0C4859F3-BA8F-43CA-93A9-F1E53AD26914}"/>
    <cellStyle name="40% - Accent1 2 6 2" xfId="3043" xr:uid="{9D40C0A1-C509-40D3-9FD5-7B955638A648}"/>
    <cellStyle name="40% - Accent1 2 6 2 2" xfId="6478" xr:uid="{F5F8E531-A46F-4DBD-A42A-261091CF3402}"/>
    <cellStyle name="40% - Accent1 2 6 3" xfId="4738" xr:uid="{2E9E8387-AF42-4547-85D7-03FF7EA0EB14}"/>
    <cellStyle name="40% - Accent1 2 7" xfId="600" xr:uid="{C8D6D701-BD7B-46D0-9A81-3318A7FC0206}"/>
    <cellStyle name="40% - Accent1 2 7 2" xfId="5608" xr:uid="{8BBFBCBB-BF5A-4E50-A96F-8C9C95AA9BA9}"/>
    <cellStyle name="40% - Accent1 2 8" xfId="3894" xr:uid="{D3B535E7-882E-457B-A5F9-062702507058}"/>
    <cellStyle name="40% - Accent1 3" xfId="169" xr:uid="{3FC58793-385D-4646-AAFB-49FA5445C98E}"/>
    <cellStyle name="40% - Accent1 3 2" xfId="266" xr:uid="{4DF76AD3-B571-401A-B436-096934BA2148}"/>
    <cellStyle name="40% - Accent1 3 2 2" xfId="475" xr:uid="{365E31A4-E624-4A1E-9717-990801BDEC21}"/>
    <cellStyle name="40% - Accent1 3 2 2 2" xfId="1335" xr:uid="{B16CC611-24F0-4BB1-8017-10C12A205B74}"/>
    <cellStyle name="40% - Accent1 3 2 2 2 2" xfId="2474" xr:uid="{2D0F97F4-4895-4198-BF4F-B9BBA780F9DE}"/>
    <cellStyle name="40% - Accent1 3 2 2 2 2 2" xfId="3777" xr:uid="{9821C810-1CDB-4E38-A5BE-97A0F2763169}"/>
    <cellStyle name="40% - Accent1 3 2 2 2 2 2 2" xfId="7234" xr:uid="{E85C33ED-D82A-45B7-BBC5-67AF6FB5DED6}"/>
    <cellStyle name="40% - Accent1 3 2 2 2 2 3" xfId="5495" xr:uid="{DCE01339-7087-4A7D-AD61-4FE806976FE5}"/>
    <cellStyle name="40% - Accent1 3 2 2 2 3" xfId="2930" xr:uid="{5A6A561C-C149-44F7-91AD-1AE174876B43}"/>
    <cellStyle name="40% - Accent1 3 2 2 2 3 2" xfId="6365" xr:uid="{829B6D00-1A94-4D00-8E98-5DCA5B111C4F}"/>
    <cellStyle name="40% - Accent1 3 2 2 2 4" xfId="4625" xr:uid="{C87AB37C-1BB8-4EA3-9825-DBCB0886EBCB}"/>
    <cellStyle name="40% - Accent1 3 2 2 3" xfId="1792" xr:uid="{9D359DD7-AE50-49A3-AB58-FD4B178AA711}"/>
    <cellStyle name="40% - Accent1 3 2 2 3 2" xfId="3353" xr:uid="{B36691CB-7BD0-4F93-A907-DC326E722E39}"/>
    <cellStyle name="40% - Accent1 3 2 2 3 2 2" xfId="6799" xr:uid="{ABB6FE61-1F2A-4719-BEA3-E98956773302}"/>
    <cellStyle name="40% - Accent1 3 2 2 3 3" xfId="5060" xr:uid="{561B13A7-2E44-422B-B04E-E86C92E9DA98}"/>
    <cellStyle name="40% - Accent1 3 2 2 4" xfId="922" xr:uid="{B81DA964-4EA3-445A-B130-5D5A74A0C923}"/>
    <cellStyle name="40% - Accent1 3 2 2 4 2" xfId="5930" xr:uid="{A6C92A5F-0A6D-4345-9E69-CE22CA366F61}"/>
    <cellStyle name="40% - Accent1 3 2 2 5" xfId="4195" xr:uid="{A65DB355-3037-431F-AC59-10CDDAC0E310}"/>
    <cellStyle name="40% - Accent1 3 2 3" xfId="1128" xr:uid="{FA71C36B-34E9-40EB-860A-E6DC885D2D7B}"/>
    <cellStyle name="40% - Accent1 3 2 3 2" xfId="2286" xr:uid="{2E5A8B8C-36B7-4559-98CE-4211F99936B0}"/>
    <cellStyle name="40% - Accent1 3 2 3 2 2" xfId="3572" xr:uid="{E8B5CCD5-D6FE-4BEF-B1C8-424B2571E04A}"/>
    <cellStyle name="40% - Accent1 3 2 3 2 2 2" xfId="7027" xr:uid="{9D0F2AA5-A820-497A-B462-DDAF9B882A6D}"/>
    <cellStyle name="40% - Accent1 3 2 3 2 3" xfId="5288" xr:uid="{2B8236F3-3D39-4BE5-82F9-77B9035C3D90}"/>
    <cellStyle name="40% - Accent1 3 2 3 3" xfId="2725" xr:uid="{6D56453F-FBC6-43BB-B7EE-B8AD8F746704}"/>
    <cellStyle name="40% - Accent1 3 2 3 3 2" xfId="6158" xr:uid="{948294B5-FBCE-4822-9B70-9D89D97B8AEF}"/>
    <cellStyle name="40% - Accent1 3 2 3 4" xfId="4418" xr:uid="{546D74ED-E1AA-41BD-91F0-9DDD00578BD4}"/>
    <cellStyle name="40% - Accent1 3 2 4" xfId="1602" xr:uid="{2662EA94-30C5-4544-84AC-146A888BECEB}"/>
    <cellStyle name="40% - Accent1 3 2 4 2" xfId="3155" xr:uid="{20A8EEE8-5443-44D4-AADF-D3AE923346C8}"/>
    <cellStyle name="40% - Accent1 3 2 4 2 2" xfId="6592" xr:uid="{EA50AC6D-8E1E-4CB8-8F61-D8641DABE679}"/>
    <cellStyle name="40% - Accent1 3 2 4 3" xfId="4853" xr:uid="{0F42D0E8-1BA7-4905-BC1A-84A551BC23A3}"/>
    <cellStyle name="40% - Accent1 3 2 5" xfId="715" xr:uid="{A41D4322-536B-4A2E-877B-7EA6EBE7F67A}"/>
    <cellStyle name="40% - Accent1 3 2 5 2" xfId="5723" xr:uid="{8DB5C7ED-BC45-4441-B6CB-6828CBAC0600}"/>
    <cellStyle name="40% - Accent1 3 2 6" xfId="3999" xr:uid="{35D52692-76A8-4BAF-B5FA-69B309E7FCB8}"/>
    <cellStyle name="40% - Accent1 3 3" xfId="382" xr:uid="{BC9C6D6E-4BEF-49B5-B6BD-D270A5D07AF2}"/>
    <cellStyle name="40% - Accent1 3 3 2" xfId="1242" xr:uid="{2EC05125-9971-457F-B41F-C7D71181E603}"/>
    <cellStyle name="40% - Accent1 3 3 2 2" xfId="2386" xr:uid="{4DE831A6-26EE-496F-9667-5145C3BE39BA}"/>
    <cellStyle name="40% - Accent1 3 3 2 2 2" xfId="3684" xr:uid="{E95A1BF2-39B3-4E4F-A86D-C94117B63510}"/>
    <cellStyle name="40% - Accent1 3 3 2 2 2 2" xfId="7141" xr:uid="{1836D263-7ED9-41E5-92D4-37D08A1D6481}"/>
    <cellStyle name="40% - Accent1 3 3 2 2 3" xfId="5402" xr:uid="{556E0407-C2B8-4956-B6F3-8F9E01F161DA}"/>
    <cellStyle name="40% - Accent1 3 3 2 3" xfId="2837" xr:uid="{AA6A50FD-D6AC-4E4D-8295-5A374C126522}"/>
    <cellStyle name="40% - Accent1 3 3 2 3 2" xfId="6272" xr:uid="{FA00E90F-B163-40CF-BBDB-0CC9B044AB47}"/>
    <cellStyle name="40% - Accent1 3 3 2 4" xfId="4532" xr:uid="{B8035058-BBE2-4BA3-B2B8-EDC07F873F1A}"/>
    <cellStyle name="40% - Accent1 3 3 3" xfId="1699" xr:uid="{3E83A962-0426-45D0-93DD-4A9CE8FD6508}"/>
    <cellStyle name="40% - Accent1 3 3 3 2" xfId="3265" xr:uid="{A6AEB291-764C-432F-85B1-146D88CAD286}"/>
    <cellStyle name="40% - Accent1 3 3 3 2 2" xfId="6706" xr:uid="{EDBC5070-A1E3-4A70-8E84-587B9CB91552}"/>
    <cellStyle name="40% - Accent1 3 3 3 3" xfId="4967" xr:uid="{FD0EBDBC-EE3E-478A-8C12-6980BBADAD3F}"/>
    <cellStyle name="40% - Accent1 3 3 4" xfId="829" xr:uid="{465EF82A-862C-473F-97B4-59947F5E168A}"/>
    <cellStyle name="40% - Accent1 3 3 4 2" xfId="5837" xr:uid="{2B719964-5068-4EF7-9AC0-371EC658607C}"/>
    <cellStyle name="40% - Accent1 3 3 5" xfId="4107" xr:uid="{C06C7971-E2BD-409F-A289-74B6CF514F53}"/>
    <cellStyle name="40% - Accent1 3 4" xfId="1029" xr:uid="{191CE58E-AA97-4BE0-A040-8603CC0CEC44}"/>
    <cellStyle name="40% - Accent1 3 4 2" xfId="2203" xr:uid="{80845BDC-0AFA-4BDF-A0E2-2C8D7D1C22BF}"/>
    <cellStyle name="40% - Accent1 3 4 2 2" xfId="3476" xr:uid="{935FCD6B-8775-4C76-A9A4-024A053D37E6}"/>
    <cellStyle name="40% - Accent1 3 4 2 2 2" xfId="6927" xr:uid="{17A56E73-1492-468C-A7FB-518BEC4A7B48}"/>
    <cellStyle name="40% - Accent1 3 4 2 3" xfId="5188" xr:uid="{4E642F28-36FC-41B0-9943-FA34B087DE3E}"/>
    <cellStyle name="40% - Accent1 3 4 3" xfId="2633" xr:uid="{AB020114-2A06-4088-B4AB-45F52238750C}"/>
    <cellStyle name="40% - Accent1 3 4 3 2" xfId="6058" xr:uid="{C4FA18D2-D1B0-44C6-BCD3-721F530177A7}"/>
    <cellStyle name="40% - Accent1 3 4 4" xfId="4319" xr:uid="{A3BDEC85-529F-428B-B4B1-432D04BEB916}"/>
    <cellStyle name="40% - Accent1 3 5" xfId="1484" xr:uid="{8E1968D0-FA1D-4EC6-810C-270E23E03B8F}"/>
    <cellStyle name="40% - Accent1 3 5 2" xfId="3058" xr:uid="{146024B8-25EB-4CFB-A210-CAD1443788C3}"/>
    <cellStyle name="40% - Accent1 3 5 2 2" xfId="6493" xr:uid="{DF0581D7-437E-4A88-9E35-26A04C2AF9A2}"/>
    <cellStyle name="40% - Accent1 3 5 3" xfId="4753" xr:uid="{77772F04-5A10-4BFE-90F2-9C825279FBD0}"/>
    <cellStyle name="40% - Accent1 3 6" xfId="615" xr:uid="{F65840A8-60DB-4EAC-BDD3-30DEA7F7A001}"/>
    <cellStyle name="40% - Accent1 3 6 2" xfId="5623" xr:uid="{6DD36BED-5A6F-429D-A42B-78CCC27AE860}"/>
    <cellStyle name="40% - Accent1 3 7" xfId="3908" xr:uid="{08EA573D-9C50-41AE-994F-D322C951D030}"/>
    <cellStyle name="40% - Accent1 4" xfId="236" xr:uid="{4C6A56B9-7510-4BB8-A9D1-9F09677D72A5}"/>
    <cellStyle name="40% - Accent1 4 2" xfId="445" xr:uid="{5F361B57-D342-4637-A031-0BA3210C1ADD}"/>
    <cellStyle name="40% - Accent1 4 2 2" xfId="1305" xr:uid="{FFCF66F9-1814-4459-8BCA-1B02F0FCB2E2}"/>
    <cellStyle name="40% - Accent1 4 2 2 2" xfId="2446" xr:uid="{82F76393-9487-4CE1-82BE-9B770643DEEB}"/>
    <cellStyle name="40% - Accent1 4 2 2 2 2" xfId="3747" xr:uid="{C0033E23-2FB0-4964-BF8A-5C481601BFA5}"/>
    <cellStyle name="40% - Accent1 4 2 2 2 2 2" xfId="7204" xr:uid="{1BB2A878-6092-4CC1-97F9-256E3E468485}"/>
    <cellStyle name="40% - Accent1 4 2 2 2 3" xfId="5465" xr:uid="{3B3DEA8B-51A0-4BAA-8DFA-30B81E8EAF94}"/>
    <cellStyle name="40% - Accent1 4 2 2 3" xfId="2900" xr:uid="{7C9A45C8-65F4-4A89-A4FC-A59F19AB059D}"/>
    <cellStyle name="40% - Accent1 4 2 2 3 2" xfId="6335" xr:uid="{80011E7E-1D79-4CA8-A07B-819C322130B3}"/>
    <cellStyle name="40% - Accent1 4 2 2 4" xfId="4595" xr:uid="{17CEE2AE-5480-448C-AFB3-07013810338F}"/>
    <cellStyle name="40% - Accent1 4 2 3" xfId="1762" xr:uid="{4C400BDD-FE3E-4F1E-A732-3326DFBA0433}"/>
    <cellStyle name="40% - Accent1 4 2 3 2" xfId="3325" xr:uid="{C299BFDF-3A70-4E20-8D7C-D237F43781A8}"/>
    <cellStyle name="40% - Accent1 4 2 3 2 2" xfId="6769" xr:uid="{BFE25F18-4A95-4836-9DC4-8F00AD902ADF}"/>
    <cellStyle name="40% - Accent1 4 2 3 3" xfId="5030" xr:uid="{68DEAAB8-73B3-44D0-AAEB-0C0B3BC1BAE8}"/>
    <cellStyle name="40% - Accent1 4 2 4" xfId="892" xr:uid="{54C1D26F-3C91-45BA-93A3-F49E867746BB}"/>
    <cellStyle name="40% - Accent1 4 2 4 2" xfId="5900" xr:uid="{478AB2D8-E965-4AF4-8A9A-7B102995F57E}"/>
    <cellStyle name="40% - Accent1 4 2 5" xfId="4167" xr:uid="{81BDF3DC-3AB9-4EDC-BB9E-ABD3F1AC3AE8}"/>
    <cellStyle name="40% - Accent1 4 3" xfId="1098" xr:uid="{3BF37A03-2123-4BE9-A21C-7DB4A5FA06C7}"/>
    <cellStyle name="40% - Accent1 4 3 2" xfId="2258" xr:uid="{CE441D4F-3792-4FCE-84CB-722E21B35E7D}"/>
    <cellStyle name="40% - Accent1 4 3 2 2" xfId="3543" xr:uid="{EB794161-B9A8-4CA4-A688-96CBDC1AB251}"/>
    <cellStyle name="40% - Accent1 4 3 2 2 2" xfId="6997" xr:uid="{5F364363-2B7A-4EA3-9F4B-55F0788AA8EF}"/>
    <cellStyle name="40% - Accent1 4 3 2 3" xfId="5258" xr:uid="{C9607D8E-685C-4ABC-A384-F4DCED81645D}"/>
    <cellStyle name="40% - Accent1 4 3 3" xfId="2696" xr:uid="{8077E41D-5C15-427F-AB4C-4A9ED4053389}"/>
    <cellStyle name="40% - Accent1 4 3 3 2" xfId="6128" xr:uid="{14139B88-57CC-49C6-A06B-52DFC5EA948A}"/>
    <cellStyle name="40% - Accent1 4 3 4" xfId="4388" xr:uid="{1BF13C58-C3E8-4B8D-B440-068A69EB81D2}"/>
    <cellStyle name="40% - Accent1 4 4" xfId="1572" xr:uid="{41D47EB5-8490-432E-8B84-B34B3ECEFD11}"/>
    <cellStyle name="40% - Accent1 4 4 2" xfId="3126" xr:uid="{B72286F1-37F2-4E9F-9B38-BCC2262C4842}"/>
    <cellStyle name="40% - Accent1 4 4 2 2" xfId="6562" xr:uid="{068C4322-EE79-467B-8F32-A5FF1F11049B}"/>
    <cellStyle name="40% - Accent1 4 4 3" xfId="4823" xr:uid="{EAE58FE7-1BC6-4293-9D70-97D411392CF6}"/>
    <cellStyle name="40% - Accent1 4 5" xfId="685" xr:uid="{58E9B346-248A-406A-8139-96890F244096}"/>
    <cellStyle name="40% - Accent1 4 5 2" xfId="5693" xr:uid="{EB877695-6F87-4D49-9C53-84C558715B73}"/>
    <cellStyle name="40% - Accent1 4 6" xfId="3971" xr:uid="{C5E39EB9-70E8-4731-9630-FF9566DAAD7F}"/>
    <cellStyle name="40% - Accent1 5" xfId="347" xr:uid="{D646AA1F-D188-4608-AB46-FE82E3AD45B9}"/>
    <cellStyle name="40% - Accent1 5 2" xfId="1212" xr:uid="{0F837106-AA64-438B-9072-1FA86CB112B3}"/>
    <cellStyle name="40% - Accent1 5 2 2" xfId="2358" xr:uid="{A4A11285-17B7-414E-A75A-8374CD38CC73}"/>
    <cellStyle name="40% - Accent1 5 2 2 2" xfId="3655" xr:uid="{902782A3-8B1C-4E36-93FC-ABE581122FD6}"/>
    <cellStyle name="40% - Accent1 5 2 2 2 2" xfId="7111" xr:uid="{FCF9BE2D-E874-430E-A4BE-17C1B930D8C8}"/>
    <cellStyle name="40% - Accent1 5 2 2 3" xfId="5372" xr:uid="{699AE878-8919-4E28-8732-5C105420E7E2}"/>
    <cellStyle name="40% - Accent1 5 2 3" xfId="2808" xr:uid="{0CB89DD3-CBBC-46B9-8899-115278B32B11}"/>
    <cellStyle name="40% - Accent1 5 2 3 2" xfId="6242" xr:uid="{50CE57A8-62BA-4D44-8300-33E0A7A151C4}"/>
    <cellStyle name="40% - Accent1 5 2 4" xfId="4502" xr:uid="{F3862D57-F01C-4ED1-AA32-CA557710BE92}"/>
    <cellStyle name="40% - Accent1 5 3" xfId="1666" xr:uid="{39CB63A8-81E1-44D0-9365-3363F69BD9AA}"/>
    <cellStyle name="40% - Accent1 5 3 2" xfId="3236" xr:uid="{EEA23087-4564-4632-BD9C-1D58463190F9}"/>
    <cellStyle name="40% - Accent1 5 3 2 2" xfId="6676" xr:uid="{475519E5-FD15-412C-B739-5A74832CA651}"/>
    <cellStyle name="40% - Accent1 5 3 3" xfId="4937" xr:uid="{8AD442EA-1778-4A65-9279-998D992FD380}"/>
    <cellStyle name="40% - Accent1 5 4" xfId="799" xr:uid="{BB16D547-33B4-4FA5-9A2B-3CE507AA508A}"/>
    <cellStyle name="40% - Accent1 5 4 2" xfId="5807" xr:uid="{8E115830-A31B-4958-ACE6-72800B9D3535}"/>
    <cellStyle name="40% - Accent1 5 5" xfId="4079" xr:uid="{7B7619F6-D70F-4586-A26E-49017877EA7B}"/>
    <cellStyle name="40% - Accent1 6" xfId="999" xr:uid="{B430FC95-8A08-48D9-A22A-F141639FE979}"/>
    <cellStyle name="40% - Accent1 6 2" xfId="2175" xr:uid="{441F58DB-7F5C-437E-8BD9-649E3AE86003}"/>
    <cellStyle name="40% - Accent1 6 2 2" xfId="3448" xr:uid="{149B632A-07D3-4BEA-87E8-739FAA8F191A}"/>
    <cellStyle name="40% - Accent1 6 2 2 2" xfId="6897" xr:uid="{719B52CE-7930-48BA-AA0F-93FD0CD81D65}"/>
    <cellStyle name="40% - Accent1 6 2 3" xfId="5158" xr:uid="{0DEB5DAA-7BF2-4CFF-B9D3-194CDE35D83F}"/>
    <cellStyle name="40% - Accent1 6 3" xfId="2605" xr:uid="{5A8ABBE2-D307-471F-97A8-AC37DBB7FB7C}"/>
    <cellStyle name="40% - Accent1 6 3 2" xfId="6028" xr:uid="{99CB6AA3-B59E-4215-9B24-CEAE57A72DCA}"/>
    <cellStyle name="40% - Accent1 6 4" xfId="4290" xr:uid="{D24ED687-BEAF-4EBE-B553-E04BF294F4F4}"/>
    <cellStyle name="40% - Accent1 7" xfId="1448" xr:uid="{430140BD-F366-4361-BB07-7F946754A3CF}"/>
    <cellStyle name="40% - Accent1 7 2" xfId="3028" xr:uid="{3B259D95-4784-4860-8E43-4DC655253D13}"/>
    <cellStyle name="40% - Accent1 7 2 2" xfId="6463" xr:uid="{33848ECA-F713-4B7C-9D9D-DE8120B31420}"/>
    <cellStyle name="40% - Accent1 7 3" xfId="4723" xr:uid="{3AF8E23E-9237-485C-AFE8-CA4EC4D27659}"/>
    <cellStyle name="40% - Accent1 8" xfId="585" xr:uid="{B472BF68-ACBF-4EC7-A434-C466FE8327F2}"/>
    <cellStyle name="40% - Accent1 8 2" xfId="5593" xr:uid="{2D57B0AE-9156-478C-8666-EE141F1043EA}"/>
    <cellStyle name="40% - Accent1 9" xfId="3880" xr:uid="{7C934EA4-FEFA-46D6-B118-24E3E2EDFD60}"/>
    <cellStyle name="40% - Accent2" xfId="83" builtinId="35" customBuiltin="1"/>
    <cellStyle name="40% - Accent2 2" xfId="152" xr:uid="{B4C975F0-12E7-47A4-8368-8B002E8AA601}"/>
    <cellStyle name="40% - Accent2 2 2" xfId="186" xr:uid="{7C4B1367-23B8-4B80-A8C1-0D0E93B422A2}"/>
    <cellStyle name="40% - Accent2 2 2 2" xfId="283" xr:uid="{455C0FE9-75D3-4130-86CB-CFF4FD77F47B}"/>
    <cellStyle name="40% - Accent2 2 2 2 2" xfId="492" xr:uid="{02515228-5FED-45E7-96C9-9F02ACFF17DA}"/>
    <cellStyle name="40% - Accent2 2 2 2 2 2" xfId="1352" xr:uid="{8D89076A-D87A-4EBB-AC0F-0CD30E6B44D4}"/>
    <cellStyle name="40% - Accent2 2 2 2 2 2 2" xfId="2490" xr:uid="{3827B2F5-2DE5-4D06-A87D-09209EE7913A}"/>
    <cellStyle name="40% - Accent2 2 2 2 2 2 2 2" xfId="3794" xr:uid="{53B238AA-8C9D-49F8-BF93-BDD1B9CB8A4D}"/>
    <cellStyle name="40% - Accent2 2 2 2 2 2 2 2 2" xfId="7251" xr:uid="{D2E3BA3F-73BC-410D-9E2E-A0EE29478E38}"/>
    <cellStyle name="40% - Accent2 2 2 2 2 2 2 3" xfId="5512" xr:uid="{D1541D64-E133-43AA-A3DE-51AB30F03856}"/>
    <cellStyle name="40% - Accent2 2 2 2 2 2 3" xfId="2947" xr:uid="{29207B09-0FCA-43A5-A5DE-12E144B1BE62}"/>
    <cellStyle name="40% - Accent2 2 2 2 2 2 3 2" xfId="6382" xr:uid="{44B5BB3A-C371-412B-A65C-B96624D19F36}"/>
    <cellStyle name="40% - Accent2 2 2 2 2 2 4" xfId="4642" xr:uid="{C021DA4F-CF4E-40FF-9FA7-852DCC7D49F4}"/>
    <cellStyle name="40% - Accent2 2 2 2 2 3" xfId="1809" xr:uid="{5FDFCABC-18B5-4950-B32E-A3DBB2B5295A}"/>
    <cellStyle name="40% - Accent2 2 2 2 2 3 2" xfId="3369" xr:uid="{1864B437-F644-4EF8-B9F5-E2BEBC4F97C4}"/>
    <cellStyle name="40% - Accent2 2 2 2 2 3 2 2" xfId="6816" xr:uid="{F19B9E22-9BCB-45A1-80D0-6FA290FAA5EE}"/>
    <cellStyle name="40% - Accent2 2 2 2 2 3 3" xfId="5077" xr:uid="{6B390568-9DFF-4CDC-B2B1-8572465DA142}"/>
    <cellStyle name="40% - Accent2 2 2 2 2 4" xfId="939" xr:uid="{8F75D1BE-1378-4A7C-97C8-3675572A5D53}"/>
    <cellStyle name="40% - Accent2 2 2 2 2 4 2" xfId="5947" xr:uid="{CF55FFCD-8345-498C-B9B9-28B79FFC682E}"/>
    <cellStyle name="40% - Accent2 2 2 2 2 5" xfId="4211" xr:uid="{797A0E04-4417-4BD3-849C-44EFD1686534}"/>
    <cellStyle name="40% - Accent2 2 2 2 3" xfId="1145" xr:uid="{8BE6D9B7-7C28-476A-9C17-AC464D31638C}"/>
    <cellStyle name="40% - Accent2 2 2 2 3 2" xfId="2302" xr:uid="{B4E9A99B-99B6-4B46-BBF1-1114612737AC}"/>
    <cellStyle name="40% - Accent2 2 2 2 3 2 2" xfId="3589" xr:uid="{C2720D1D-DD8A-498D-81A8-286F81BF1966}"/>
    <cellStyle name="40% - Accent2 2 2 2 3 2 2 2" xfId="7044" xr:uid="{F3D021F3-C28A-49F5-829B-0188528852C9}"/>
    <cellStyle name="40% - Accent2 2 2 2 3 2 3" xfId="5305" xr:uid="{453FEBD6-DE30-4B19-8AC0-388C05FBE1EF}"/>
    <cellStyle name="40% - Accent2 2 2 2 3 3" xfId="2742" xr:uid="{B60EABC7-443F-4204-A657-A10238E396CA}"/>
    <cellStyle name="40% - Accent2 2 2 2 3 3 2" xfId="6175" xr:uid="{85062362-921A-492A-BABA-B0CCD9584315}"/>
    <cellStyle name="40% - Accent2 2 2 2 3 4" xfId="4435" xr:uid="{4717D6A8-A2B4-4F2B-87CF-5C2E6B2814FA}"/>
    <cellStyle name="40% - Accent2 2 2 2 4" xfId="1619" xr:uid="{6A2E47EB-3BA9-4F1E-8530-ADB9D73CE2BA}"/>
    <cellStyle name="40% - Accent2 2 2 2 4 2" xfId="3171" xr:uid="{BE1EF542-001C-4148-902C-E85326410043}"/>
    <cellStyle name="40% - Accent2 2 2 2 4 2 2" xfId="6609" xr:uid="{15810993-AC71-43A2-AA5F-BF2852106AC5}"/>
    <cellStyle name="40% - Accent2 2 2 2 4 3" xfId="4870" xr:uid="{8A386E66-5660-4A48-AF87-F81675ABBEFE}"/>
    <cellStyle name="40% - Accent2 2 2 2 5" xfId="732" xr:uid="{CC1419BA-D6BB-4C88-BECB-D26CE80F81DB}"/>
    <cellStyle name="40% - Accent2 2 2 2 5 2" xfId="5740" xr:uid="{EC21BEB5-7E3C-46EC-92C5-5EA7ADEECC86}"/>
    <cellStyle name="40% - Accent2 2 2 2 6" xfId="4015" xr:uid="{4DC9992F-CE4B-419E-9344-44F9FEC9F006}"/>
    <cellStyle name="40% - Accent2 2 2 3" xfId="399" xr:uid="{4C51D6FC-1061-4654-A78F-C1C1C8E55327}"/>
    <cellStyle name="40% - Accent2 2 2 3 2" xfId="1259" xr:uid="{C6370295-702B-42C5-A98F-27A7EB287E5E}"/>
    <cellStyle name="40% - Accent2 2 2 3 2 2" xfId="2402" xr:uid="{599530E7-19FB-4C50-9E20-2801B1D72339}"/>
    <cellStyle name="40% - Accent2 2 2 3 2 2 2" xfId="3701" xr:uid="{31618138-5F9C-49E7-B672-4A5C1A485A0E}"/>
    <cellStyle name="40% - Accent2 2 2 3 2 2 2 2" xfId="7158" xr:uid="{75BA7187-8809-44DB-A907-C34137CE60F4}"/>
    <cellStyle name="40% - Accent2 2 2 3 2 2 3" xfId="5419" xr:uid="{675133E5-04AB-47EC-8587-E7099DE00B27}"/>
    <cellStyle name="40% - Accent2 2 2 3 2 3" xfId="2854" xr:uid="{DBD5FBD6-98A2-4E7F-9DBD-B51CF8FEC51D}"/>
    <cellStyle name="40% - Accent2 2 2 3 2 3 2" xfId="6289" xr:uid="{A819AF3B-59AC-4516-A75D-BEEACF717339}"/>
    <cellStyle name="40% - Accent2 2 2 3 2 4" xfId="4549" xr:uid="{3F607485-EA96-43D0-A1F5-238FD8E25F7F}"/>
    <cellStyle name="40% - Accent2 2 2 3 3" xfId="1716" xr:uid="{EAF5176D-C439-4350-9D09-772CD33862B0}"/>
    <cellStyle name="40% - Accent2 2 2 3 3 2" xfId="3281" xr:uid="{19A7C26E-97B5-4024-B285-A10547D3DF4A}"/>
    <cellStyle name="40% - Accent2 2 2 3 3 2 2" xfId="6723" xr:uid="{43D2BBBA-628B-4EE3-B362-EC3AF84E80B9}"/>
    <cellStyle name="40% - Accent2 2 2 3 3 3" xfId="4984" xr:uid="{08717AFC-FDA6-4022-965C-A387042CA6B2}"/>
    <cellStyle name="40% - Accent2 2 2 3 4" xfId="846" xr:uid="{F5499F10-F89E-40AB-98F3-EAADCBDBAF33}"/>
    <cellStyle name="40% - Accent2 2 2 3 4 2" xfId="5854" xr:uid="{5D797897-93F9-449F-8A72-431FC8BBC685}"/>
    <cellStyle name="40% - Accent2 2 2 3 5" xfId="4123" xr:uid="{19B2E9BD-9B98-4BAA-9A28-A09B53942C90}"/>
    <cellStyle name="40% - Accent2 2 2 4" xfId="1046" xr:uid="{DB47460F-D91C-4B7D-AC37-42B2A7D8FE56}"/>
    <cellStyle name="40% - Accent2 2 2 4 2" xfId="2219" xr:uid="{1F31130B-5CAC-4B05-8D97-4C00DB915D91}"/>
    <cellStyle name="40% - Accent2 2 2 4 2 2" xfId="3492" xr:uid="{1098E722-1F2E-4E57-BFFD-A94C0F1BF6C5}"/>
    <cellStyle name="40% - Accent2 2 2 4 2 2 2" xfId="6944" xr:uid="{AC4F479B-59BB-4D91-B47C-BA5265413237}"/>
    <cellStyle name="40% - Accent2 2 2 4 2 3" xfId="5205" xr:uid="{533FA25D-B021-440C-976D-DD2F169D499C}"/>
    <cellStyle name="40% - Accent2 2 2 4 3" xfId="2649" xr:uid="{B46C9619-736E-44D8-B7C8-B60E71A8CA6F}"/>
    <cellStyle name="40% - Accent2 2 2 4 3 2" xfId="6075" xr:uid="{23F7D903-D4B1-41B8-A642-74A4F6640A1E}"/>
    <cellStyle name="40% - Accent2 2 2 4 4" xfId="4336" xr:uid="{7CD18D95-5621-408B-A69B-3C66EB959C70}"/>
    <cellStyle name="40% - Accent2 2 2 5" xfId="1501" xr:uid="{E9252DBD-C83D-49F1-B941-C37BF5AD9CCC}"/>
    <cellStyle name="40% - Accent2 2 2 5 2" xfId="3075" xr:uid="{090FD3E0-8E03-4F79-BB41-E42ADCDA0831}"/>
    <cellStyle name="40% - Accent2 2 2 5 2 2" xfId="6510" xr:uid="{2DDD12B3-4245-4D38-9400-47A4C07BC2C3}"/>
    <cellStyle name="40% - Accent2 2 2 5 3" xfId="4770" xr:uid="{5778CC6E-A973-41FA-A6CD-D452E0839D2A}"/>
    <cellStyle name="40% - Accent2 2 2 6" xfId="632" xr:uid="{ADF53F93-BB96-4EC4-AED8-7D9474847F2F}"/>
    <cellStyle name="40% - Accent2 2 2 6 2" xfId="5640" xr:uid="{4937CA51-F8BE-408D-A650-097AA9479F63}"/>
    <cellStyle name="40% - Accent2 2 2 7" xfId="3924" xr:uid="{95E3511D-92E2-4F00-9A6C-E262C2AF826D}"/>
    <cellStyle name="40% - Accent2 2 3" xfId="253" xr:uid="{1099C7C3-F5D3-446C-8ABD-C4EC29104DA1}"/>
    <cellStyle name="40% - Accent2 2 3 2" xfId="462" xr:uid="{9B8D7DB0-7FC7-4B14-96E6-3895EEF07B2A}"/>
    <cellStyle name="40% - Accent2 2 3 2 2" xfId="1322" xr:uid="{82B1F05C-C7B6-46A2-B7B9-BDFB25C047E1}"/>
    <cellStyle name="40% - Accent2 2 3 2 2 2" xfId="2462" xr:uid="{BD31DC14-8537-4432-A3B4-CF5E7F95B000}"/>
    <cellStyle name="40% - Accent2 2 3 2 2 2 2" xfId="3764" xr:uid="{5D53926B-991B-42FC-843A-D80F2E9F2867}"/>
    <cellStyle name="40% - Accent2 2 3 2 2 2 2 2" xfId="7221" xr:uid="{77E73482-7A83-4B8E-8AE8-E2AFFD92D369}"/>
    <cellStyle name="40% - Accent2 2 3 2 2 2 3" xfId="5482" xr:uid="{737D54E3-8BC5-4C23-996D-04D5BC4329BE}"/>
    <cellStyle name="40% - Accent2 2 3 2 2 3" xfId="2917" xr:uid="{43DC45A4-B19C-4D01-8BCD-76D92791BB68}"/>
    <cellStyle name="40% - Accent2 2 3 2 2 3 2" xfId="6352" xr:uid="{78358FC9-7F12-48C3-BB30-6F128A8DF45A}"/>
    <cellStyle name="40% - Accent2 2 3 2 2 4" xfId="4612" xr:uid="{45777EFA-16BD-4343-BA72-715A7635E23B}"/>
    <cellStyle name="40% - Accent2 2 3 2 3" xfId="1779" xr:uid="{9BAEEDBD-0A8C-4D3C-90BA-BC6DEE47BB75}"/>
    <cellStyle name="40% - Accent2 2 3 2 3 2" xfId="3341" xr:uid="{1AD05C1B-B906-4855-BA62-DE8A47D3D66F}"/>
    <cellStyle name="40% - Accent2 2 3 2 3 2 2" xfId="6786" xr:uid="{B088A907-42DD-4E63-802B-A5CFCB65F9AB}"/>
    <cellStyle name="40% - Accent2 2 3 2 3 3" xfId="5047" xr:uid="{03C88A35-D426-4E50-8184-BFBD07EC4650}"/>
    <cellStyle name="40% - Accent2 2 3 2 4" xfId="909" xr:uid="{C50D1681-F820-419C-92BA-CE52D230A185}"/>
    <cellStyle name="40% - Accent2 2 3 2 4 2" xfId="5917" xr:uid="{A39FDEEB-1810-4AC4-832A-497961FCA78A}"/>
    <cellStyle name="40% - Accent2 2 3 2 5" xfId="4183" xr:uid="{D80ACCDA-081D-4A01-A909-F1DDB7F2FAF7}"/>
    <cellStyle name="40% - Accent2 2 3 3" xfId="1115" xr:uid="{B277B269-4603-4430-813A-E665B3879E65}"/>
    <cellStyle name="40% - Accent2 2 3 3 2" xfId="2274" xr:uid="{94D7A562-CB53-4DEB-8218-25F9AB5282E1}"/>
    <cellStyle name="40% - Accent2 2 3 3 2 2" xfId="3559" xr:uid="{19176E3D-AD3D-4FDE-A5BE-6554510B0974}"/>
    <cellStyle name="40% - Accent2 2 3 3 2 2 2" xfId="7014" xr:uid="{D5B2A149-8F21-477C-8CD3-2AEEE17E068E}"/>
    <cellStyle name="40% - Accent2 2 3 3 2 3" xfId="5275" xr:uid="{C3863EB1-62A5-47AF-B659-79E375687E46}"/>
    <cellStyle name="40% - Accent2 2 3 3 3" xfId="2712" xr:uid="{DE3147D9-2491-4FAE-A48E-23B38F6736CD}"/>
    <cellStyle name="40% - Accent2 2 3 3 3 2" xfId="6145" xr:uid="{43D38D77-BEF0-486C-A6F9-8F7B8AD3B851}"/>
    <cellStyle name="40% - Accent2 2 3 3 4" xfId="4405" xr:uid="{4099A56A-6393-4C24-AC3A-0BE49BDAFFD4}"/>
    <cellStyle name="40% - Accent2 2 3 4" xfId="1589" xr:uid="{DCDABF94-DB8B-4673-BE0F-2CCAB9F8F3DA}"/>
    <cellStyle name="40% - Accent2 2 3 4 2" xfId="3143" xr:uid="{83E9DE8F-F385-4411-BA06-6C4396EA1DC4}"/>
    <cellStyle name="40% - Accent2 2 3 4 2 2" xfId="6579" xr:uid="{C0468E00-1BA3-4EA2-9E62-5CB1403BEB77}"/>
    <cellStyle name="40% - Accent2 2 3 4 3" xfId="4840" xr:uid="{99FE16DF-93C8-43D2-BEAC-230D33906249}"/>
    <cellStyle name="40% - Accent2 2 3 5" xfId="702" xr:uid="{1C42BF15-953E-435A-932E-5596ACF7C452}"/>
    <cellStyle name="40% - Accent2 2 3 5 2" xfId="5710" xr:uid="{5CCC3B92-3CF0-47D8-AE05-C373C24A10C7}"/>
    <cellStyle name="40% - Accent2 2 3 6" xfId="3987" xr:uid="{ABB675CB-DACF-417E-A466-FD738CC8E400}"/>
    <cellStyle name="40% - Accent2 2 4" xfId="367" xr:uid="{2343C213-DAC4-44CF-AAFD-7FB32B171DEC}"/>
    <cellStyle name="40% - Accent2 2 4 2" xfId="1229" xr:uid="{F04FFAA0-EDEF-4147-B176-72FB34ACBCAE}"/>
    <cellStyle name="40% - Accent2 2 4 2 2" xfId="2374" xr:uid="{D41D924D-62CD-4E85-B32A-4E4A6B0A631C}"/>
    <cellStyle name="40% - Accent2 2 4 2 2 2" xfId="3671" xr:uid="{69FA264B-F9AD-4C6C-AFC3-0ABA899DD35C}"/>
    <cellStyle name="40% - Accent2 2 4 2 2 2 2" xfId="7128" xr:uid="{93548762-51C0-4E08-B066-011438F0EF5C}"/>
    <cellStyle name="40% - Accent2 2 4 2 2 3" xfId="5389" xr:uid="{E611E6DA-49B6-4030-A6C4-090F5AF407DE}"/>
    <cellStyle name="40% - Accent2 2 4 2 3" xfId="2824" xr:uid="{2170A181-6AD1-4781-9BE2-C184358F89DE}"/>
    <cellStyle name="40% - Accent2 2 4 2 3 2" xfId="6259" xr:uid="{814882C0-D6C8-495A-BA02-8F0DCB96AAEA}"/>
    <cellStyle name="40% - Accent2 2 4 2 4" xfId="4519" xr:uid="{A021D6CB-8FFE-4F3A-B074-F3BB0A4CB806}"/>
    <cellStyle name="40% - Accent2 2 4 3" xfId="1685" xr:uid="{658C5389-28C2-46BE-B1EC-9C4D0089CB6A}"/>
    <cellStyle name="40% - Accent2 2 4 3 2" xfId="3253" xr:uid="{407C0EFD-A8AE-4158-B4FC-C283B89F1C69}"/>
    <cellStyle name="40% - Accent2 2 4 3 2 2" xfId="6693" xr:uid="{F98438F1-ED2B-4315-92DA-806C8716E5BE}"/>
    <cellStyle name="40% - Accent2 2 4 3 3" xfId="4954" xr:uid="{5E28A521-A45C-459E-8D63-1EBEA390FE15}"/>
    <cellStyle name="40% - Accent2 2 4 4" xfId="816" xr:uid="{7011AA2A-5B34-4714-8023-E373403EDBB4}"/>
    <cellStyle name="40% - Accent2 2 4 4 2" xfId="5824" xr:uid="{88750E76-7F8D-4AA5-AD08-83FD0A42563A}"/>
    <cellStyle name="40% - Accent2 2 4 5" xfId="4095" xr:uid="{8EF33838-CA22-4C61-8524-1D486A4F071B}"/>
    <cellStyle name="40% - Accent2 2 5" xfId="1016" xr:uid="{0E199089-5593-4BCF-8222-EC7D53EF3E0B}"/>
    <cellStyle name="40% - Accent2 2 5 2" xfId="2191" xr:uid="{A639C0B9-2985-4723-9939-8FCE8415C598}"/>
    <cellStyle name="40% - Accent2 2 5 2 2" xfId="3464" xr:uid="{C0C99527-9627-4088-8504-A412F1D23705}"/>
    <cellStyle name="40% - Accent2 2 5 2 2 2" xfId="6914" xr:uid="{10F8B4BE-1ACD-43F5-812E-F78D170700F8}"/>
    <cellStyle name="40% - Accent2 2 5 2 3" xfId="5175" xr:uid="{3E00CE79-F4CB-47AB-96B7-1202CA1BC095}"/>
    <cellStyle name="40% - Accent2 2 5 3" xfId="2621" xr:uid="{667BBCF7-1F5E-490E-B422-E36AB1C91BBE}"/>
    <cellStyle name="40% - Accent2 2 5 3 2" xfId="6045" xr:uid="{A976FC62-0CC9-48E8-9E6F-2F53641922A4}"/>
    <cellStyle name="40% - Accent2 2 5 4" xfId="4306" xr:uid="{17473C22-5DAE-462F-BA95-C666A3081E2F}"/>
    <cellStyle name="40% - Accent2 2 6" xfId="1470" xr:uid="{B8D6A263-ABC3-4B91-B808-E224DDA0125D}"/>
    <cellStyle name="40% - Accent2 2 6 2" xfId="3045" xr:uid="{7D946B76-96F2-4AB2-BEC4-521ABABAFC06}"/>
    <cellStyle name="40% - Accent2 2 6 2 2" xfId="6480" xr:uid="{945C1E1B-35AA-4AD8-8E69-680FB345678F}"/>
    <cellStyle name="40% - Accent2 2 6 3" xfId="4740" xr:uid="{EFE5303B-4F08-4557-8887-AE32A96B6F96}"/>
    <cellStyle name="40% - Accent2 2 7" xfId="602" xr:uid="{556D38BD-9080-4274-8DB2-216558A8B7EB}"/>
    <cellStyle name="40% - Accent2 2 7 2" xfId="5610" xr:uid="{975CAA4C-4E8E-47A8-B051-6277700C567A}"/>
    <cellStyle name="40% - Accent2 2 8" xfId="3896" xr:uid="{69AFD870-419B-44AC-BFD8-6661EBE1E948}"/>
    <cellStyle name="40% - Accent2 3" xfId="171" xr:uid="{32D062C4-B51A-43DB-8156-E76B5CB1C413}"/>
    <cellStyle name="40% - Accent2 3 2" xfId="268" xr:uid="{AF8965DB-49B6-4A27-A601-57E35E84B27E}"/>
    <cellStyle name="40% - Accent2 3 2 2" xfId="477" xr:uid="{ACBDB2ED-C7BF-4DFD-9305-67BCD26FF49E}"/>
    <cellStyle name="40% - Accent2 3 2 2 2" xfId="1337" xr:uid="{15638597-1697-48C4-8729-232C98D79770}"/>
    <cellStyle name="40% - Accent2 3 2 2 2 2" xfId="2476" xr:uid="{9102FD39-7B40-4191-824E-64B9AE86DF36}"/>
    <cellStyle name="40% - Accent2 3 2 2 2 2 2" xfId="3779" xr:uid="{C1CAB858-A313-434C-BCB5-8AAF25783CF7}"/>
    <cellStyle name="40% - Accent2 3 2 2 2 2 2 2" xfId="7236" xr:uid="{39DC7475-9E5C-4D3A-B31F-4D054C83B9E4}"/>
    <cellStyle name="40% - Accent2 3 2 2 2 2 3" xfId="5497" xr:uid="{C1C0DCCF-855C-49BC-A6FB-9654C62701B5}"/>
    <cellStyle name="40% - Accent2 3 2 2 2 3" xfId="2932" xr:uid="{03945A68-C752-4637-B6E0-7580076BFAE2}"/>
    <cellStyle name="40% - Accent2 3 2 2 2 3 2" xfId="6367" xr:uid="{C4883022-83B9-4858-B9DF-9016BECF695D}"/>
    <cellStyle name="40% - Accent2 3 2 2 2 4" xfId="4627" xr:uid="{2F0FE030-507C-40B8-AFCB-5071BCA31014}"/>
    <cellStyle name="40% - Accent2 3 2 2 3" xfId="1794" xr:uid="{C90CF5FC-7C8D-4B50-B2BA-11F747A57D0F}"/>
    <cellStyle name="40% - Accent2 3 2 2 3 2" xfId="3355" xr:uid="{A2731C99-834F-4982-9D66-60900AE81CD9}"/>
    <cellStyle name="40% - Accent2 3 2 2 3 2 2" xfId="6801" xr:uid="{C4287C74-8E00-4045-8C83-D91B56070FA3}"/>
    <cellStyle name="40% - Accent2 3 2 2 3 3" xfId="5062" xr:uid="{0D46E41A-9A51-46BE-8B40-831F5A9CBE82}"/>
    <cellStyle name="40% - Accent2 3 2 2 4" xfId="924" xr:uid="{AC92C708-3D0B-4FDD-99EC-9B234310EC1A}"/>
    <cellStyle name="40% - Accent2 3 2 2 4 2" xfId="5932" xr:uid="{175C10C1-59FA-4388-8851-86F9E8CC0F9B}"/>
    <cellStyle name="40% - Accent2 3 2 2 5" xfId="4197" xr:uid="{CEDD2444-FD6F-444E-B89E-32F401AC2977}"/>
    <cellStyle name="40% - Accent2 3 2 3" xfId="1130" xr:uid="{645BB06C-17EF-46F7-95F3-E2163FB5C2B9}"/>
    <cellStyle name="40% - Accent2 3 2 3 2" xfId="2288" xr:uid="{7295959F-3E5F-4431-BED5-9985C2C7F15A}"/>
    <cellStyle name="40% - Accent2 3 2 3 2 2" xfId="3574" xr:uid="{EB39CBC6-40D9-49E6-9877-8F17098D8347}"/>
    <cellStyle name="40% - Accent2 3 2 3 2 2 2" xfId="7029" xr:uid="{15C18893-E5DB-413A-AA1A-2B0D18F88711}"/>
    <cellStyle name="40% - Accent2 3 2 3 2 3" xfId="5290" xr:uid="{4397E7EA-AD5C-45BE-B892-5F3B1DEF3738}"/>
    <cellStyle name="40% - Accent2 3 2 3 3" xfId="2727" xr:uid="{915D1791-6BDF-4D01-9E2D-B3E63B5F0CEA}"/>
    <cellStyle name="40% - Accent2 3 2 3 3 2" xfId="6160" xr:uid="{BEF23AFA-9C94-4197-B220-4200E230BF95}"/>
    <cellStyle name="40% - Accent2 3 2 3 4" xfId="4420" xr:uid="{F2E09AFD-AEDD-451E-8190-B7D992293D87}"/>
    <cellStyle name="40% - Accent2 3 2 4" xfId="1604" xr:uid="{88924129-9F5F-4FF0-A7DB-C53125A669D6}"/>
    <cellStyle name="40% - Accent2 3 2 4 2" xfId="3157" xr:uid="{40FE7614-90B7-4387-8313-EB9876A8FFB7}"/>
    <cellStyle name="40% - Accent2 3 2 4 2 2" xfId="6594" xr:uid="{D32C1E70-3EA0-476E-9CC3-EC4C8D7F7C0B}"/>
    <cellStyle name="40% - Accent2 3 2 4 3" xfId="4855" xr:uid="{3470C0DB-419B-46A2-97DD-C95CBDD7A3FB}"/>
    <cellStyle name="40% - Accent2 3 2 5" xfId="717" xr:uid="{04F30B62-041E-4E22-9CEB-71AFCBD9E761}"/>
    <cellStyle name="40% - Accent2 3 2 5 2" xfId="5725" xr:uid="{FAAA2A98-4405-463C-AA35-ED6947190C92}"/>
    <cellStyle name="40% - Accent2 3 2 6" xfId="4001" xr:uid="{30C91AC7-B746-42B2-A63C-811A916973AD}"/>
    <cellStyle name="40% - Accent2 3 3" xfId="384" xr:uid="{4237CBF4-F03E-4E66-AC8C-2F4430AAC642}"/>
    <cellStyle name="40% - Accent2 3 3 2" xfId="1244" xr:uid="{EB9F75AF-4D53-4AB4-8356-DFC9B48E9360}"/>
    <cellStyle name="40% - Accent2 3 3 2 2" xfId="2388" xr:uid="{E0595EA3-646E-486C-87B8-CE5C5FA5CB96}"/>
    <cellStyle name="40% - Accent2 3 3 2 2 2" xfId="3686" xr:uid="{14A0B7F5-597C-4238-9A54-A8591050086A}"/>
    <cellStyle name="40% - Accent2 3 3 2 2 2 2" xfId="7143" xr:uid="{F63A18AB-E033-49F8-AD7F-A4C60DC72B54}"/>
    <cellStyle name="40% - Accent2 3 3 2 2 3" xfId="5404" xr:uid="{DF48F8BA-FC8B-46F7-A906-ED97A3B60709}"/>
    <cellStyle name="40% - Accent2 3 3 2 3" xfId="2839" xr:uid="{FBB94829-45A5-493B-A8C8-7BB7A218157D}"/>
    <cellStyle name="40% - Accent2 3 3 2 3 2" xfId="6274" xr:uid="{A5D82A73-DD8E-4D11-BDF1-6C0748F3E4AC}"/>
    <cellStyle name="40% - Accent2 3 3 2 4" xfId="4534" xr:uid="{A08206E7-C9A1-4F7B-96E3-E0F73983218F}"/>
    <cellStyle name="40% - Accent2 3 3 3" xfId="1701" xr:uid="{CB2F1B2A-3B88-44C6-8315-6A3B8977A082}"/>
    <cellStyle name="40% - Accent2 3 3 3 2" xfId="3267" xr:uid="{C98898A8-B786-43D0-AD77-92E8FD261282}"/>
    <cellStyle name="40% - Accent2 3 3 3 2 2" xfId="6708" xr:uid="{5692A482-549C-407F-998B-BD1DC4ECDD4D}"/>
    <cellStyle name="40% - Accent2 3 3 3 3" xfId="4969" xr:uid="{387B05EE-8F02-4220-89F4-C63A2D06312F}"/>
    <cellStyle name="40% - Accent2 3 3 4" xfId="831" xr:uid="{F382CA36-AE12-4B8D-B678-56030AAFBB20}"/>
    <cellStyle name="40% - Accent2 3 3 4 2" xfId="5839" xr:uid="{D4D946E1-54BA-4557-8713-392B1A3BE9A3}"/>
    <cellStyle name="40% - Accent2 3 3 5" xfId="4109" xr:uid="{0094D6B1-9B53-4E05-BD0A-58BE6B706A56}"/>
    <cellStyle name="40% - Accent2 3 4" xfId="1031" xr:uid="{E28B91DE-A181-487F-859B-B26CE78D0C34}"/>
    <cellStyle name="40% - Accent2 3 4 2" xfId="2205" xr:uid="{3A6B651C-87A6-416B-BC42-6957185791D4}"/>
    <cellStyle name="40% - Accent2 3 4 2 2" xfId="3478" xr:uid="{4AC5B010-F43D-4021-8A40-C0792DDA0514}"/>
    <cellStyle name="40% - Accent2 3 4 2 2 2" xfId="6929" xr:uid="{FCC188D3-4A71-4BF2-A00A-8805D7BA89ED}"/>
    <cellStyle name="40% - Accent2 3 4 2 3" xfId="5190" xr:uid="{AB96BDA2-E035-4B37-959D-4EB3C3A74EF0}"/>
    <cellStyle name="40% - Accent2 3 4 3" xfId="2635" xr:uid="{EDBBC4AF-FBE1-48C7-BFD7-BC3795FF3D8F}"/>
    <cellStyle name="40% - Accent2 3 4 3 2" xfId="6060" xr:uid="{3BE3C199-8D9C-4011-AD79-481B4155FB0E}"/>
    <cellStyle name="40% - Accent2 3 4 4" xfId="4321" xr:uid="{510AC807-827D-4750-94CC-441D4D1180BB}"/>
    <cellStyle name="40% - Accent2 3 5" xfId="1486" xr:uid="{692404A5-4239-4FA5-BF70-5EE5C1541D7C}"/>
    <cellStyle name="40% - Accent2 3 5 2" xfId="3060" xr:uid="{7E90E96C-C57F-4D4B-BE4C-35312872A0AC}"/>
    <cellStyle name="40% - Accent2 3 5 2 2" xfId="6495" xr:uid="{6ED2A30A-60D0-4393-B30B-FF35F726084D}"/>
    <cellStyle name="40% - Accent2 3 5 3" xfId="4755" xr:uid="{71C98499-2CC4-4D3E-90E4-34E646493CCE}"/>
    <cellStyle name="40% - Accent2 3 6" xfId="617" xr:uid="{75FA8D6A-4D92-4857-9ED4-5D0DED3CC1B5}"/>
    <cellStyle name="40% - Accent2 3 6 2" xfId="5625" xr:uid="{6B044EE5-B687-4C2E-8B69-A9DB48884BB9}"/>
    <cellStyle name="40% - Accent2 3 7" xfId="3910" xr:uid="{EF69F526-6015-4F9F-90F8-7319664A276E}"/>
    <cellStyle name="40% - Accent2 4" xfId="238" xr:uid="{FB90E3E3-D39E-4FD7-816F-CD978AB03A69}"/>
    <cellStyle name="40% - Accent2 4 2" xfId="447" xr:uid="{753BF828-69DC-48DA-B057-76EC1F1CAFFC}"/>
    <cellStyle name="40% - Accent2 4 2 2" xfId="1307" xr:uid="{2459BC0B-AA50-42A7-91DC-CBE3EBAA07DC}"/>
    <cellStyle name="40% - Accent2 4 2 2 2" xfId="2448" xr:uid="{68C0C82B-146F-46F0-AF0F-16197968E7CD}"/>
    <cellStyle name="40% - Accent2 4 2 2 2 2" xfId="3749" xr:uid="{E0438965-1865-4222-B8CA-401DCE6F83BB}"/>
    <cellStyle name="40% - Accent2 4 2 2 2 2 2" xfId="7206" xr:uid="{83BC58BF-C7CC-41D0-B4DE-70DAEDEAE2A5}"/>
    <cellStyle name="40% - Accent2 4 2 2 2 3" xfId="5467" xr:uid="{70A63318-D451-498A-942C-7F3772D526A3}"/>
    <cellStyle name="40% - Accent2 4 2 2 3" xfId="2902" xr:uid="{4BBB41A0-C42B-4BC2-A1ED-983B2D6D10AD}"/>
    <cellStyle name="40% - Accent2 4 2 2 3 2" xfId="6337" xr:uid="{A9C9424D-A6E1-4DDA-827F-6916640F1F1E}"/>
    <cellStyle name="40% - Accent2 4 2 2 4" xfId="4597" xr:uid="{6F327B45-DF51-4605-AC04-378BDB32795D}"/>
    <cellStyle name="40% - Accent2 4 2 3" xfId="1764" xr:uid="{E3ED5994-1EED-476D-9369-31AED8A6C79F}"/>
    <cellStyle name="40% - Accent2 4 2 3 2" xfId="3327" xr:uid="{947F6E6C-F8ED-4375-8965-1DD4B55DCA7D}"/>
    <cellStyle name="40% - Accent2 4 2 3 2 2" xfId="6771" xr:uid="{E0E2B1A7-0725-49BD-9343-BEDFB8212EEE}"/>
    <cellStyle name="40% - Accent2 4 2 3 3" xfId="5032" xr:uid="{A45BD4A6-DAD9-4E8F-98D3-C6F3F94D2CF7}"/>
    <cellStyle name="40% - Accent2 4 2 4" xfId="894" xr:uid="{7190D414-53DA-4CE8-9680-2D5A869AE1B2}"/>
    <cellStyle name="40% - Accent2 4 2 4 2" xfId="5902" xr:uid="{CA514C80-FBA8-4C54-8106-424A6D38E20F}"/>
    <cellStyle name="40% - Accent2 4 2 5" xfId="4169" xr:uid="{C221543C-19CC-4033-A7FA-0A6BB77328BC}"/>
    <cellStyle name="40% - Accent2 4 3" xfId="1100" xr:uid="{671F95C6-9173-4162-B75B-80BED7F7B3C9}"/>
    <cellStyle name="40% - Accent2 4 3 2" xfId="2260" xr:uid="{9354EAB0-49DF-4005-8ECD-D8D4EFF1C4A0}"/>
    <cellStyle name="40% - Accent2 4 3 2 2" xfId="3545" xr:uid="{A494C132-DAB2-4967-AB9F-3D43E710F517}"/>
    <cellStyle name="40% - Accent2 4 3 2 2 2" xfId="6999" xr:uid="{A86A5CFA-9C86-4C29-A9CC-A412B94FF874}"/>
    <cellStyle name="40% - Accent2 4 3 2 3" xfId="5260" xr:uid="{6D51EDFE-486E-4735-B7D4-7F2178C35037}"/>
    <cellStyle name="40% - Accent2 4 3 3" xfId="2698" xr:uid="{68818C18-67FD-4ECB-B248-C1521DB98456}"/>
    <cellStyle name="40% - Accent2 4 3 3 2" xfId="6130" xr:uid="{7EB3EEE7-262E-4035-849B-ED74CC19CCBC}"/>
    <cellStyle name="40% - Accent2 4 3 4" xfId="4390" xr:uid="{358E3CAE-CA72-44F4-B9D6-DABA50959B9D}"/>
    <cellStyle name="40% - Accent2 4 4" xfId="1574" xr:uid="{77432E65-A420-4DE0-9E27-3EE8C24483BC}"/>
    <cellStyle name="40% - Accent2 4 4 2" xfId="3128" xr:uid="{DEDEB886-6FC2-48B9-9E43-1CBC265887C7}"/>
    <cellStyle name="40% - Accent2 4 4 2 2" xfId="6564" xr:uid="{D0206791-57F3-4951-86CC-4A4B1246A3DE}"/>
    <cellStyle name="40% - Accent2 4 4 3" xfId="4825" xr:uid="{E2890C2A-5F3A-4A59-BFCA-9BCAB53829A3}"/>
    <cellStyle name="40% - Accent2 4 5" xfId="687" xr:uid="{C44254D9-7AD4-4436-9ED9-458D26D020EE}"/>
    <cellStyle name="40% - Accent2 4 5 2" xfId="5695" xr:uid="{610C11FA-B4ED-48A8-AC9D-0A1F5CC02C58}"/>
    <cellStyle name="40% - Accent2 4 6" xfId="3973" xr:uid="{1F50F951-FC67-4A94-AB35-03237C9D4949}"/>
    <cellStyle name="40% - Accent2 5" xfId="349" xr:uid="{06E49361-96F3-414B-87B1-61456869BA3B}"/>
    <cellStyle name="40% - Accent2 5 2" xfId="1214" xr:uid="{E18C32F7-46C7-4ACE-A004-16425C8A2176}"/>
    <cellStyle name="40% - Accent2 5 2 2" xfId="2360" xr:uid="{D5B0DECE-4662-4F53-8EBA-C64A6B9352B3}"/>
    <cellStyle name="40% - Accent2 5 2 2 2" xfId="3657" xr:uid="{048B0CDC-2669-4D5D-A656-5E560949A72E}"/>
    <cellStyle name="40% - Accent2 5 2 2 2 2" xfId="7113" xr:uid="{C3430A08-9D6E-46AF-A8C3-071A51929A07}"/>
    <cellStyle name="40% - Accent2 5 2 2 3" xfId="5374" xr:uid="{78094159-76FE-4E86-9F12-4CEAFBF4A440}"/>
    <cellStyle name="40% - Accent2 5 2 3" xfId="2810" xr:uid="{A7C4B9EC-5F4A-47E6-80D0-405F83A6555C}"/>
    <cellStyle name="40% - Accent2 5 2 3 2" xfId="6244" xr:uid="{3B9A3DFF-CBD3-4B9B-8A1D-1FC42F4BBCB7}"/>
    <cellStyle name="40% - Accent2 5 2 4" xfId="4504" xr:uid="{421B8A0F-19BC-4669-8661-94F4CB39329C}"/>
    <cellStyle name="40% - Accent2 5 3" xfId="1668" xr:uid="{BC43491D-B6BB-46A7-B182-941609D0631B}"/>
    <cellStyle name="40% - Accent2 5 3 2" xfId="3238" xr:uid="{BF7546E1-94F9-41E3-AC43-E8300A3B11C1}"/>
    <cellStyle name="40% - Accent2 5 3 2 2" xfId="6678" xr:uid="{8DA0D69C-8A3D-4E52-B357-CEAD1EFB7842}"/>
    <cellStyle name="40% - Accent2 5 3 3" xfId="4939" xr:uid="{F14ED9C0-9A1A-4D82-BE74-355BF2F05EAF}"/>
    <cellStyle name="40% - Accent2 5 4" xfId="801" xr:uid="{E1A6F3F2-4C5D-4834-BB39-3EBB8B381C53}"/>
    <cellStyle name="40% - Accent2 5 4 2" xfId="5809" xr:uid="{DD13A828-AD95-4122-9149-537D7EDA2EC1}"/>
    <cellStyle name="40% - Accent2 5 5" xfId="4081" xr:uid="{2B28041D-9C30-4E61-92B5-AFADE525013B}"/>
    <cellStyle name="40% - Accent2 6" xfId="1001" xr:uid="{E20A2E47-90ED-42D4-A420-5C9C1134E2CD}"/>
    <cellStyle name="40% - Accent2 6 2" xfId="2177" xr:uid="{3492B31E-04BE-4448-B489-0A85E8AE7BAB}"/>
    <cellStyle name="40% - Accent2 6 2 2" xfId="3450" xr:uid="{68D23171-795F-499A-BF9B-59D72E0ADAD1}"/>
    <cellStyle name="40% - Accent2 6 2 2 2" xfId="6899" xr:uid="{44B9BC54-1F6E-4A38-B16D-6BF9A94373AE}"/>
    <cellStyle name="40% - Accent2 6 2 3" xfId="5160" xr:uid="{CD849088-D2FB-4A96-A55A-F06157BDBD19}"/>
    <cellStyle name="40% - Accent2 6 3" xfId="2607" xr:uid="{6D7CF3EE-39DD-430A-99B7-A8C91C62BCBD}"/>
    <cellStyle name="40% - Accent2 6 3 2" xfId="6030" xr:uid="{4A0D75D2-1789-415A-9FA9-0185F93BB8F6}"/>
    <cellStyle name="40% - Accent2 6 4" xfId="4292" xr:uid="{F627A5D0-4299-4F5F-B60E-2C528218C1B7}"/>
    <cellStyle name="40% - Accent2 7" xfId="1450" xr:uid="{25C0977B-D516-4FDB-992F-2065FB12F64A}"/>
    <cellStyle name="40% - Accent2 7 2" xfId="3030" xr:uid="{A481B022-E185-4D13-A2BF-7DA498EB655F}"/>
    <cellStyle name="40% - Accent2 7 2 2" xfId="6465" xr:uid="{1C003234-FDB7-4EEE-ABBC-3A7891D82B9A}"/>
    <cellStyle name="40% - Accent2 7 3" xfId="4725" xr:uid="{741E1F93-93FA-478A-9E7A-DAF01615A51B}"/>
    <cellStyle name="40% - Accent2 8" xfId="587" xr:uid="{0F803B4F-4DF9-4B22-8888-BEF63196CE34}"/>
    <cellStyle name="40% - Accent2 8 2" xfId="5595" xr:uid="{E820B4AE-A794-4656-AEFC-AAA81C1A0383}"/>
    <cellStyle name="40% - Accent2 9" xfId="3882" xr:uid="{7BDEE5E8-B951-4A01-8712-481FEAD7D6C1}"/>
    <cellStyle name="40% - Accent3" xfId="86" builtinId="39" customBuiltin="1"/>
    <cellStyle name="40% - Accent3 2" xfId="154" xr:uid="{CDD15389-413D-408A-BEF5-BE62E44A55C8}"/>
    <cellStyle name="40% - Accent3 2 2" xfId="188" xr:uid="{2C8F3D68-C917-4C58-8932-5BE3A7434A72}"/>
    <cellStyle name="40% - Accent3 2 2 2" xfId="285" xr:uid="{23C9A3FD-5670-455D-B8FB-76ACBA2F7675}"/>
    <cellStyle name="40% - Accent3 2 2 2 2" xfId="494" xr:uid="{36DF84E0-C938-4A1A-9920-0D25EAF5D60E}"/>
    <cellStyle name="40% - Accent3 2 2 2 2 2" xfId="1354" xr:uid="{BB10ED3F-A0E6-410D-837B-AF1396E81E00}"/>
    <cellStyle name="40% - Accent3 2 2 2 2 2 2" xfId="2492" xr:uid="{FEAD114D-4550-45FF-AC03-F5795001C105}"/>
    <cellStyle name="40% - Accent3 2 2 2 2 2 2 2" xfId="3796" xr:uid="{0E7CAD41-5E53-4B1C-9451-3C3B8D17109C}"/>
    <cellStyle name="40% - Accent3 2 2 2 2 2 2 2 2" xfId="7253" xr:uid="{624821F5-95B9-4F1C-8E48-201E23390F65}"/>
    <cellStyle name="40% - Accent3 2 2 2 2 2 2 3" xfId="5514" xr:uid="{8EC16D76-3F6A-4296-8141-726A437D1210}"/>
    <cellStyle name="40% - Accent3 2 2 2 2 2 3" xfId="2949" xr:uid="{52003526-37CE-4E09-874F-9514B09ED555}"/>
    <cellStyle name="40% - Accent3 2 2 2 2 2 3 2" xfId="6384" xr:uid="{97E4EBEE-087F-4937-A509-FC7B8EEC0C51}"/>
    <cellStyle name="40% - Accent3 2 2 2 2 2 4" xfId="4644" xr:uid="{6C6DD77C-968F-438F-92F0-D6C6B4492C3B}"/>
    <cellStyle name="40% - Accent3 2 2 2 2 3" xfId="1811" xr:uid="{6D743C40-EA11-49A1-A50A-DC9CBAE32801}"/>
    <cellStyle name="40% - Accent3 2 2 2 2 3 2" xfId="3371" xr:uid="{292170EA-6C2D-4EB7-A242-5801A24346BC}"/>
    <cellStyle name="40% - Accent3 2 2 2 2 3 2 2" xfId="6818" xr:uid="{E41F77BD-945B-42D0-8E92-7E73AFBEF8D4}"/>
    <cellStyle name="40% - Accent3 2 2 2 2 3 3" xfId="5079" xr:uid="{DAE98A56-209B-483B-B130-9E00DD850C93}"/>
    <cellStyle name="40% - Accent3 2 2 2 2 4" xfId="941" xr:uid="{3917E10A-F4EB-4009-9E06-C5E646FC63D6}"/>
    <cellStyle name="40% - Accent3 2 2 2 2 4 2" xfId="5949" xr:uid="{01BB7EB1-43DB-4669-BAF7-57D152757739}"/>
    <cellStyle name="40% - Accent3 2 2 2 2 5" xfId="4213" xr:uid="{FE2D89FC-DEDB-4AA3-886B-9C303F3DEC7A}"/>
    <cellStyle name="40% - Accent3 2 2 2 3" xfId="1147" xr:uid="{0D2FC8A5-EF04-48F6-BE5B-52C2B0BC739B}"/>
    <cellStyle name="40% - Accent3 2 2 2 3 2" xfId="2304" xr:uid="{6CADFD72-83E7-4AC9-A425-90B213A57362}"/>
    <cellStyle name="40% - Accent3 2 2 2 3 2 2" xfId="3591" xr:uid="{49E05115-11F5-4B6E-B24F-4143BB29B093}"/>
    <cellStyle name="40% - Accent3 2 2 2 3 2 2 2" xfId="7046" xr:uid="{F8DEE3B0-37EB-4465-B224-199F11BA0B67}"/>
    <cellStyle name="40% - Accent3 2 2 2 3 2 3" xfId="5307" xr:uid="{8506A206-F1FF-4498-88D5-E946E28433ED}"/>
    <cellStyle name="40% - Accent3 2 2 2 3 3" xfId="2744" xr:uid="{8D75D24D-FEE7-48D2-A233-D6B3A42B8D41}"/>
    <cellStyle name="40% - Accent3 2 2 2 3 3 2" xfId="6177" xr:uid="{DE018BFF-42CE-4F7C-9BB5-6D33C9C6D60D}"/>
    <cellStyle name="40% - Accent3 2 2 2 3 4" xfId="4437" xr:uid="{BDC1A3F8-6E4B-4B51-A52B-8D29FC559DA8}"/>
    <cellStyle name="40% - Accent3 2 2 2 4" xfId="1621" xr:uid="{0415E40B-FF04-4C04-9CF0-35DCF4A50D17}"/>
    <cellStyle name="40% - Accent3 2 2 2 4 2" xfId="3173" xr:uid="{6DA44638-7268-4D56-A565-7A9C7C3BCE88}"/>
    <cellStyle name="40% - Accent3 2 2 2 4 2 2" xfId="6611" xr:uid="{B5D79236-88A5-4F34-B63B-13E17B00C8B7}"/>
    <cellStyle name="40% - Accent3 2 2 2 4 3" xfId="4872" xr:uid="{369028AA-705E-47E5-B248-37BC5F4090C4}"/>
    <cellStyle name="40% - Accent3 2 2 2 5" xfId="734" xr:uid="{0CCDED66-0B95-491E-B282-4943BA140AE2}"/>
    <cellStyle name="40% - Accent3 2 2 2 5 2" xfId="5742" xr:uid="{A3659185-BA69-49CA-A06B-B35B062B01E3}"/>
    <cellStyle name="40% - Accent3 2 2 2 6" xfId="4017" xr:uid="{2F4F7D67-8646-4A5C-92CC-417A46256DAE}"/>
    <cellStyle name="40% - Accent3 2 2 3" xfId="401" xr:uid="{A2FEBA0F-969D-4426-AD81-3850C4AF56E3}"/>
    <cellStyle name="40% - Accent3 2 2 3 2" xfId="1261" xr:uid="{A7181C2F-5BA1-4C0B-8781-8CA0092DEE87}"/>
    <cellStyle name="40% - Accent3 2 2 3 2 2" xfId="2404" xr:uid="{0FD621D0-F505-440C-B352-7DCA6EE7732A}"/>
    <cellStyle name="40% - Accent3 2 2 3 2 2 2" xfId="3703" xr:uid="{42D77E38-D9D5-4C32-9188-F592213C6812}"/>
    <cellStyle name="40% - Accent3 2 2 3 2 2 2 2" xfId="7160" xr:uid="{849E22CF-6949-408B-9BF3-A7B88A1070BC}"/>
    <cellStyle name="40% - Accent3 2 2 3 2 2 3" xfId="5421" xr:uid="{5502AD96-8EC9-4316-BEDA-DB131E8EB999}"/>
    <cellStyle name="40% - Accent3 2 2 3 2 3" xfId="2856" xr:uid="{15023058-6BC3-4BD7-8A91-E0FAB7ABE313}"/>
    <cellStyle name="40% - Accent3 2 2 3 2 3 2" xfId="6291" xr:uid="{DF940E98-7A4E-4EE8-B8F7-7B72C57E9AEA}"/>
    <cellStyle name="40% - Accent3 2 2 3 2 4" xfId="4551" xr:uid="{EBB8243D-0429-4951-9EF8-FD65AEE7458C}"/>
    <cellStyle name="40% - Accent3 2 2 3 3" xfId="1718" xr:uid="{137984FC-E4E5-4D0E-8406-B2F825075A10}"/>
    <cellStyle name="40% - Accent3 2 2 3 3 2" xfId="3283" xr:uid="{AEB34045-54B7-41C2-80D0-78EF08F8BB62}"/>
    <cellStyle name="40% - Accent3 2 2 3 3 2 2" xfId="6725" xr:uid="{29A557BA-1019-4C80-A610-BC1BBC1ECDBB}"/>
    <cellStyle name="40% - Accent3 2 2 3 3 3" xfId="4986" xr:uid="{C9634A4C-2C8B-487A-B388-22803FF36A1B}"/>
    <cellStyle name="40% - Accent3 2 2 3 4" xfId="848" xr:uid="{6834D266-6B75-4136-95A2-9EC772C212D0}"/>
    <cellStyle name="40% - Accent3 2 2 3 4 2" xfId="5856" xr:uid="{037DB1B0-C384-43DD-A447-55FDE845516D}"/>
    <cellStyle name="40% - Accent3 2 2 3 5" xfId="4125" xr:uid="{D9EAE647-D36D-4FC7-98F0-F426334F2568}"/>
    <cellStyle name="40% - Accent3 2 2 4" xfId="1048" xr:uid="{CFA113D4-BDB2-4975-9D57-AC2EC07AFF47}"/>
    <cellStyle name="40% - Accent3 2 2 4 2" xfId="2221" xr:uid="{3BEF2E93-5243-4315-844E-C423694177CF}"/>
    <cellStyle name="40% - Accent3 2 2 4 2 2" xfId="3494" xr:uid="{16EE0858-F8DA-4F6E-B871-3CC5E7A6C18F}"/>
    <cellStyle name="40% - Accent3 2 2 4 2 2 2" xfId="6946" xr:uid="{1A23B1BA-EFBD-412F-A136-6A79F4F71FFE}"/>
    <cellStyle name="40% - Accent3 2 2 4 2 3" xfId="5207" xr:uid="{6E3329B9-52F3-4FD1-A83F-CF31748F08CE}"/>
    <cellStyle name="40% - Accent3 2 2 4 3" xfId="2651" xr:uid="{B3CB5974-EF87-43DD-8696-A6BB8BB5162E}"/>
    <cellStyle name="40% - Accent3 2 2 4 3 2" xfId="6077" xr:uid="{3B326E4D-A494-4DEE-A2BB-21774CE001B4}"/>
    <cellStyle name="40% - Accent3 2 2 4 4" xfId="4338" xr:uid="{482294A7-D49F-4991-8183-1F7303994F8D}"/>
    <cellStyle name="40% - Accent3 2 2 5" xfId="1503" xr:uid="{131CC9E9-DBCE-4CE6-966A-CDC17024CF99}"/>
    <cellStyle name="40% - Accent3 2 2 5 2" xfId="3077" xr:uid="{C8A05316-5A24-4F1C-AE02-A3C9FFD11AB1}"/>
    <cellStyle name="40% - Accent3 2 2 5 2 2" xfId="6512" xr:uid="{794070C8-07DE-4F5B-BD5D-D21BEDB6AE33}"/>
    <cellStyle name="40% - Accent3 2 2 5 3" xfId="4772" xr:uid="{EB40DED1-6587-49CF-ABC0-16C6632C305D}"/>
    <cellStyle name="40% - Accent3 2 2 6" xfId="634" xr:uid="{C7940E5E-9976-47CF-8D4B-ADADF58671B8}"/>
    <cellStyle name="40% - Accent3 2 2 6 2" xfId="5642" xr:uid="{A86EC402-E7B4-4320-BC04-15C989ED5592}"/>
    <cellStyle name="40% - Accent3 2 2 7" xfId="3926" xr:uid="{F46D3A8A-6DD2-44E0-A5E4-E02A0D106805}"/>
    <cellStyle name="40% - Accent3 2 3" xfId="255" xr:uid="{E077A882-CB59-4D3F-9FA7-C044AA93B0FE}"/>
    <cellStyle name="40% - Accent3 2 3 2" xfId="464" xr:uid="{3B6BD74C-B59E-4912-9207-146189459F16}"/>
    <cellStyle name="40% - Accent3 2 3 2 2" xfId="1324" xr:uid="{32531188-EF6A-4BBF-BB81-4F14EE406557}"/>
    <cellStyle name="40% - Accent3 2 3 2 2 2" xfId="2464" xr:uid="{EC8F350A-5FAB-4359-946B-9E4D52533BDB}"/>
    <cellStyle name="40% - Accent3 2 3 2 2 2 2" xfId="3766" xr:uid="{92A6065F-2CA2-4A6B-9F41-2910A3693B09}"/>
    <cellStyle name="40% - Accent3 2 3 2 2 2 2 2" xfId="7223" xr:uid="{71DA6049-58A5-4EC1-B221-EEBFFCDB23C9}"/>
    <cellStyle name="40% - Accent3 2 3 2 2 2 3" xfId="5484" xr:uid="{77FA8B47-97E7-4342-917A-9D4480247DC6}"/>
    <cellStyle name="40% - Accent3 2 3 2 2 3" xfId="2919" xr:uid="{8A823E5F-7298-456F-86B9-B530C1BBEBA6}"/>
    <cellStyle name="40% - Accent3 2 3 2 2 3 2" xfId="6354" xr:uid="{B282A425-540D-45A4-9066-68E5236CCF24}"/>
    <cellStyle name="40% - Accent3 2 3 2 2 4" xfId="4614" xr:uid="{2624D4F9-EDFF-4C17-88C1-0E3BBFC7F44E}"/>
    <cellStyle name="40% - Accent3 2 3 2 3" xfId="1781" xr:uid="{ADB79424-0A23-4671-B389-673CEBB3822A}"/>
    <cellStyle name="40% - Accent3 2 3 2 3 2" xfId="3343" xr:uid="{D6343204-D303-4C6E-A3CF-6421F21070E9}"/>
    <cellStyle name="40% - Accent3 2 3 2 3 2 2" xfId="6788" xr:uid="{AAA214C6-90B4-4AEE-A456-1174A64D9999}"/>
    <cellStyle name="40% - Accent3 2 3 2 3 3" xfId="5049" xr:uid="{4BF60362-E0E7-46FC-A027-0DAA93774410}"/>
    <cellStyle name="40% - Accent3 2 3 2 4" xfId="911" xr:uid="{C09C123E-B98C-48D4-80DF-E41E70B5C6BD}"/>
    <cellStyle name="40% - Accent3 2 3 2 4 2" xfId="5919" xr:uid="{5F68DF0B-7F9B-4E28-9925-B4E9F4088843}"/>
    <cellStyle name="40% - Accent3 2 3 2 5" xfId="4185" xr:uid="{BF33CB18-DE93-4D29-AF83-CD49704FB003}"/>
    <cellStyle name="40% - Accent3 2 3 3" xfId="1117" xr:uid="{A10D3597-74FD-44CD-90D8-279AD94009A3}"/>
    <cellStyle name="40% - Accent3 2 3 3 2" xfId="2276" xr:uid="{09D944E2-C700-4E42-A69E-4B9355125E70}"/>
    <cellStyle name="40% - Accent3 2 3 3 2 2" xfId="3561" xr:uid="{929B7BF6-08DA-4036-99C2-E0965219E929}"/>
    <cellStyle name="40% - Accent3 2 3 3 2 2 2" xfId="7016" xr:uid="{AEA8362D-B464-414F-A174-4FAEA239A466}"/>
    <cellStyle name="40% - Accent3 2 3 3 2 3" xfId="5277" xr:uid="{D1CFF0DA-98F0-4427-AFCD-08DCEC9EEE4E}"/>
    <cellStyle name="40% - Accent3 2 3 3 3" xfId="2714" xr:uid="{52033041-2E55-4F6F-BA0D-664283EB8378}"/>
    <cellStyle name="40% - Accent3 2 3 3 3 2" xfId="6147" xr:uid="{0365AEE7-DF7B-4D40-82D6-FC38E808D053}"/>
    <cellStyle name="40% - Accent3 2 3 3 4" xfId="4407" xr:uid="{EE77EDB6-62D3-40C1-B052-EEE723BE1DC5}"/>
    <cellStyle name="40% - Accent3 2 3 4" xfId="1591" xr:uid="{7322C169-B1E0-4306-9171-E566CB350625}"/>
    <cellStyle name="40% - Accent3 2 3 4 2" xfId="3145" xr:uid="{D9D08BF0-681C-4269-B6D6-E445C151E25D}"/>
    <cellStyle name="40% - Accent3 2 3 4 2 2" xfId="6581" xr:uid="{0C7C4915-0F57-4650-8B19-E8E9150344F9}"/>
    <cellStyle name="40% - Accent3 2 3 4 3" xfId="4842" xr:uid="{BD97C9F5-60B6-41B3-A6DF-CEC7197A9979}"/>
    <cellStyle name="40% - Accent3 2 3 5" xfId="704" xr:uid="{936E3285-C470-4BC6-BEB4-7097CEE46044}"/>
    <cellStyle name="40% - Accent3 2 3 5 2" xfId="5712" xr:uid="{E77D149A-4562-49DD-9F8C-2F2630DF4698}"/>
    <cellStyle name="40% - Accent3 2 3 6" xfId="3989" xr:uid="{3C8C158D-F907-4062-9D11-B7A5FD9886E7}"/>
    <cellStyle name="40% - Accent3 2 4" xfId="369" xr:uid="{F81D0273-79A2-4750-A421-D5FF78C7EE9F}"/>
    <cellStyle name="40% - Accent3 2 4 2" xfId="1231" xr:uid="{9BA5F973-7C2E-43E4-8045-71BAAB345E74}"/>
    <cellStyle name="40% - Accent3 2 4 2 2" xfId="2376" xr:uid="{0C2C1E29-FB5A-42E6-8DA8-2871321E9758}"/>
    <cellStyle name="40% - Accent3 2 4 2 2 2" xfId="3673" xr:uid="{885FF32D-05D7-4A32-8AE8-E7189AD7E7A2}"/>
    <cellStyle name="40% - Accent3 2 4 2 2 2 2" xfId="7130" xr:uid="{6400F93B-7071-4BA5-B5CE-68CB49DF4E79}"/>
    <cellStyle name="40% - Accent3 2 4 2 2 3" xfId="5391" xr:uid="{F5D83A22-20CD-418A-B0C0-65CF34A48A85}"/>
    <cellStyle name="40% - Accent3 2 4 2 3" xfId="2826" xr:uid="{94B784C9-C8DD-4E86-A93C-5C96A789859D}"/>
    <cellStyle name="40% - Accent3 2 4 2 3 2" xfId="6261" xr:uid="{BF33BA2B-E78B-498F-B44E-594193533458}"/>
    <cellStyle name="40% - Accent3 2 4 2 4" xfId="4521" xr:uid="{33C57ADA-39EA-4CD4-9144-17DB7DECBA68}"/>
    <cellStyle name="40% - Accent3 2 4 3" xfId="1687" xr:uid="{A4D33D18-E031-4DDF-A973-1B1217C8DB14}"/>
    <cellStyle name="40% - Accent3 2 4 3 2" xfId="3255" xr:uid="{9333F124-4F24-4223-8330-2C9EDE21A48A}"/>
    <cellStyle name="40% - Accent3 2 4 3 2 2" xfId="6695" xr:uid="{08D93B3A-F349-4CE8-9E1B-7C5E1EF93986}"/>
    <cellStyle name="40% - Accent3 2 4 3 3" xfId="4956" xr:uid="{166EBDDD-A2D4-4487-959D-6BEB16526237}"/>
    <cellStyle name="40% - Accent3 2 4 4" xfId="818" xr:uid="{3BF55F81-AF86-458A-B3A1-061967FA9B70}"/>
    <cellStyle name="40% - Accent3 2 4 4 2" xfId="5826" xr:uid="{CAE7C7A5-CECD-445A-9183-97503CBEA17E}"/>
    <cellStyle name="40% - Accent3 2 4 5" xfId="4097" xr:uid="{15D37D21-F4C3-456C-B34F-AB20035C002C}"/>
    <cellStyle name="40% - Accent3 2 5" xfId="1018" xr:uid="{706AEC0F-2B67-43BE-A58F-515F73B8344D}"/>
    <cellStyle name="40% - Accent3 2 5 2" xfId="2193" xr:uid="{E22DB15D-A45E-4CD7-98F2-AEC4F20CE569}"/>
    <cellStyle name="40% - Accent3 2 5 2 2" xfId="3466" xr:uid="{4B156891-F62A-424F-B4AC-72EF1FCA91B3}"/>
    <cellStyle name="40% - Accent3 2 5 2 2 2" xfId="6916" xr:uid="{39517BFD-1705-4744-A0D9-BE39EC90D4CB}"/>
    <cellStyle name="40% - Accent3 2 5 2 3" xfId="5177" xr:uid="{014A2A46-0D7B-49A0-9A1F-B350E37CB8CA}"/>
    <cellStyle name="40% - Accent3 2 5 3" xfId="2623" xr:uid="{2B957D85-0134-4F7B-9093-8027C2B83F2F}"/>
    <cellStyle name="40% - Accent3 2 5 3 2" xfId="6047" xr:uid="{F17C4C4B-E485-44C7-9DD8-0B6A7A4EACC9}"/>
    <cellStyle name="40% - Accent3 2 5 4" xfId="4308" xr:uid="{7706CAE9-1905-47DC-8FF4-8959A3FC345F}"/>
    <cellStyle name="40% - Accent3 2 6" xfId="1472" xr:uid="{2E1C134A-09F4-421A-B7A6-7A8E60098B6C}"/>
    <cellStyle name="40% - Accent3 2 6 2" xfId="3047" xr:uid="{7E7C7AD8-0B2F-4673-A0CF-DF367A04C4F1}"/>
    <cellStyle name="40% - Accent3 2 6 2 2" xfId="6482" xr:uid="{CA9637F4-DAF8-4BA0-8EB0-8C4B5593C31B}"/>
    <cellStyle name="40% - Accent3 2 6 3" xfId="4742" xr:uid="{F755095E-EB1A-4D98-81EC-5351E212FFF9}"/>
    <cellStyle name="40% - Accent3 2 7" xfId="604" xr:uid="{32E6B84C-C838-48E7-9858-0854C401122A}"/>
    <cellStyle name="40% - Accent3 2 7 2" xfId="5612" xr:uid="{CF398FD2-0119-4D8C-BD77-EBE0FE2E2DDA}"/>
    <cellStyle name="40% - Accent3 2 8" xfId="3898" xr:uid="{7F5BEE80-2F0F-44B0-A59B-264BA2B45B44}"/>
    <cellStyle name="40% - Accent3 3" xfId="173" xr:uid="{A2722971-9979-47F4-AAAD-364F60B11619}"/>
    <cellStyle name="40% - Accent3 3 2" xfId="270" xr:uid="{2181BC75-082A-47DB-B0FD-EFC497A98B61}"/>
    <cellStyle name="40% - Accent3 3 2 2" xfId="479" xr:uid="{9FB3D418-8981-4D57-BA74-B7C233B2CE91}"/>
    <cellStyle name="40% - Accent3 3 2 2 2" xfId="1339" xr:uid="{50162AC8-1877-4F9A-8962-FDECBDD0D8F0}"/>
    <cellStyle name="40% - Accent3 3 2 2 2 2" xfId="2478" xr:uid="{92306DA6-A088-4121-8B91-72A7B84EEC6D}"/>
    <cellStyle name="40% - Accent3 3 2 2 2 2 2" xfId="3781" xr:uid="{EFB84D7D-46A5-4015-B5A7-0CC1EA88FAA3}"/>
    <cellStyle name="40% - Accent3 3 2 2 2 2 2 2" xfId="7238" xr:uid="{D3320D6D-E3BA-450F-9519-941848F5D0D5}"/>
    <cellStyle name="40% - Accent3 3 2 2 2 2 3" xfId="5499" xr:uid="{93034A6A-CAAF-4E00-8325-EDBD66DEA43D}"/>
    <cellStyle name="40% - Accent3 3 2 2 2 3" xfId="2934" xr:uid="{A8BBDFA7-B8D8-40C8-9039-1360F06110F8}"/>
    <cellStyle name="40% - Accent3 3 2 2 2 3 2" xfId="6369" xr:uid="{175DDDA7-D029-4C3E-B805-1D8C5B8294EC}"/>
    <cellStyle name="40% - Accent3 3 2 2 2 4" xfId="4629" xr:uid="{35241AF6-7124-40EC-8644-2F286291999F}"/>
    <cellStyle name="40% - Accent3 3 2 2 3" xfId="1796" xr:uid="{AA976463-0841-4B87-8660-0A201A07F071}"/>
    <cellStyle name="40% - Accent3 3 2 2 3 2" xfId="3357" xr:uid="{292E1B11-E42B-4758-A634-FDFBAEED3E65}"/>
    <cellStyle name="40% - Accent3 3 2 2 3 2 2" xfId="6803" xr:uid="{68B87F18-4446-45AF-B2BC-AB4ACC22E523}"/>
    <cellStyle name="40% - Accent3 3 2 2 3 3" xfId="5064" xr:uid="{366B6354-70C9-459B-BA9D-7F6C0628A1F3}"/>
    <cellStyle name="40% - Accent3 3 2 2 4" xfId="926" xr:uid="{000EC46C-9849-4841-9462-9E891C130BDB}"/>
    <cellStyle name="40% - Accent3 3 2 2 4 2" xfId="5934" xr:uid="{C2D45C2B-3193-4DF7-921E-5B00EA6A2856}"/>
    <cellStyle name="40% - Accent3 3 2 2 5" xfId="4199" xr:uid="{A66473D3-C4E9-4BEA-91F3-4AEFAB257E3D}"/>
    <cellStyle name="40% - Accent3 3 2 3" xfId="1132" xr:uid="{818FB2CB-12EC-4BBE-B5A1-9CDA613C8963}"/>
    <cellStyle name="40% - Accent3 3 2 3 2" xfId="2290" xr:uid="{772674A9-C869-434E-9DF0-3C1894E6D3EB}"/>
    <cellStyle name="40% - Accent3 3 2 3 2 2" xfId="3576" xr:uid="{AB1EC7C8-36A0-425B-A818-8140C910B120}"/>
    <cellStyle name="40% - Accent3 3 2 3 2 2 2" xfId="7031" xr:uid="{CD30991C-E89B-4DB2-9CB5-BD60309E18FE}"/>
    <cellStyle name="40% - Accent3 3 2 3 2 3" xfId="5292" xr:uid="{8A72652D-1CCD-4662-8EA0-2B5D691DF8FE}"/>
    <cellStyle name="40% - Accent3 3 2 3 3" xfId="2729" xr:uid="{66A29542-9019-4798-94BB-781C803E2EC3}"/>
    <cellStyle name="40% - Accent3 3 2 3 3 2" xfId="6162" xr:uid="{7CA6E3EF-4D02-4B37-87A9-C58ED3EBE70A}"/>
    <cellStyle name="40% - Accent3 3 2 3 4" xfId="4422" xr:uid="{D46BC98D-3D8C-4F5F-9DCD-4B1AB32BB88C}"/>
    <cellStyle name="40% - Accent3 3 2 4" xfId="1606" xr:uid="{F0DFC67C-D933-45D2-8285-638F670D07C9}"/>
    <cellStyle name="40% - Accent3 3 2 4 2" xfId="3159" xr:uid="{5BEDDF4E-E72D-40E8-9550-349643A1ACC3}"/>
    <cellStyle name="40% - Accent3 3 2 4 2 2" xfId="6596" xr:uid="{6135DF78-9DB0-48F3-8CDF-50A89E157288}"/>
    <cellStyle name="40% - Accent3 3 2 4 3" xfId="4857" xr:uid="{4A2BB975-809A-4236-8884-8DA4FB721854}"/>
    <cellStyle name="40% - Accent3 3 2 5" xfId="719" xr:uid="{B282B1DF-74B3-4C9D-9695-40372F96A985}"/>
    <cellStyle name="40% - Accent3 3 2 5 2" xfId="5727" xr:uid="{6C2B57B0-DDDB-4C15-B66C-E92C40638AAB}"/>
    <cellStyle name="40% - Accent3 3 2 6" xfId="4003" xr:uid="{9858E5AA-6E68-4A40-9FDE-06674676562C}"/>
    <cellStyle name="40% - Accent3 3 3" xfId="386" xr:uid="{34FC9207-094A-462F-B48F-820085D15A9B}"/>
    <cellStyle name="40% - Accent3 3 3 2" xfId="1246" xr:uid="{234E37E7-4F66-4E80-809E-C9B731147002}"/>
    <cellStyle name="40% - Accent3 3 3 2 2" xfId="2390" xr:uid="{BDF74567-26F8-484D-AAC3-2591C4B3838F}"/>
    <cellStyle name="40% - Accent3 3 3 2 2 2" xfId="3688" xr:uid="{3BAFD58C-84A1-4C75-8705-2712876CFEFB}"/>
    <cellStyle name="40% - Accent3 3 3 2 2 2 2" xfId="7145" xr:uid="{1A68FF91-651A-4C07-965B-2E4F602918AA}"/>
    <cellStyle name="40% - Accent3 3 3 2 2 3" xfId="5406" xr:uid="{278C287B-9CB3-4E8F-9BBD-56356D20EE40}"/>
    <cellStyle name="40% - Accent3 3 3 2 3" xfId="2841" xr:uid="{3176B0D8-4186-4356-ACB8-F219566C2209}"/>
    <cellStyle name="40% - Accent3 3 3 2 3 2" xfId="6276" xr:uid="{C98FFB71-BD69-45F1-B7C9-1E9B1D2A397A}"/>
    <cellStyle name="40% - Accent3 3 3 2 4" xfId="4536" xr:uid="{F34F7413-9CFB-46EA-BF52-D6AA34A2BAD3}"/>
    <cellStyle name="40% - Accent3 3 3 3" xfId="1703" xr:uid="{1F79C66E-1545-4025-BDB3-B7FA9D38A547}"/>
    <cellStyle name="40% - Accent3 3 3 3 2" xfId="3269" xr:uid="{1923BA94-37D6-4EAD-A42F-371D5A27DE5D}"/>
    <cellStyle name="40% - Accent3 3 3 3 2 2" xfId="6710" xr:uid="{F21E8BB0-34D3-4366-A3D6-F68772DF5F46}"/>
    <cellStyle name="40% - Accent3 3 3 3 3" xfId="4971" xr:uid="{51C213FB-F133-4B37-8CCC-B5FDFDF9CDF6}"/>
    <cellStyle name="40% - Accent3 3 3 4" xfId="833" xr:uid="{7E6B95CC-001F-4F6F-9390-2B8698EC709A}"/>
    <cellStyle name="40% - Accent3 3 3 4 2" xfId="5841" xr:uid="{46850CE3-9BEF-40E0-84F3-E6D67F312EB0}"/>
    <cellStyle name="40% - Accent3 3 3 5" xfId="4111" xr:uid="{7669B93E-4C84-457D-A141-997C51646BB9}"/>
    <cellStyle name="40% - Accent3 3 4" xfId="1033" xr:uid="{6774C414-D644-43C7-8579-196FB6C8D8B6}"/>
    <cellStyle name="40% - Accent3 3 4 2" xfId="2207" xr:uid="{5FD1161C-18E0-4423-BB98-2880BB4F5746}"/>
    <cellStyle name="40% - Accent3 3 4 2 2" xfId="3480" xr:uid="{2D0107D2-3454-4CE8-A6DA-BF02CE7244C7}"/>
    <cellStyle name="40% - Accent3 3 4 2 2 2" xfId="6931" xr:uid="{EC9D9860-33D8-453A-9587-18345FB69F7D}"/>
    <cellStyle name="40% - Accent3 3 4 2 3" xfId="5192" xr:uid="{09FA4EA6-C8A2-449C-BDD0-BD4A50C591A1}"/>
    <cellStyle name="40% - Accent3 3 4 3" xfId="2637" xr:uid="{502AFC17-0894-4550-9931-3D45D8BF5F1B}"/>
    <cellStyle name="40% - Accent3 3 4 3 2" xfId="6062" xr:uid="{2A084486-8CA0-412C-8867-C097E6AF6EF6}"/>
    <cellStyle name="40% - Accent3 3 4 4" xfId="4323" xr:uid="{FA49A975-8CBD-4A1A-9CC3-9DA83A71AC32}"/>
    <cellStyle name="40% - Accent3 3 5" xfId="1488" xr:uid="{B993C99B-9916-44D6-8212-7C2D97217074}"/>
    <cellStyle name="40% - Accent3 3 5 2" xfId="3062" xr:uid="{5A557A06-3BB9-4207-878B-4EC6A255A2B8}"/>
    <cellStyle name="40% - Accent3 3 5 2 2" xfId="6497" xr:uid="{777D2182-8EEF-4FD0-9DD8-C3B607A5AB4C}"/>
    <cellStyle name="40% - Accent3 3 5 3" xfId="4757" xr:uid="{B1469A71-9C74-4A09-B627-5DDA30E72FC5}"/>
    <cellStyle name="40% - Accent3 3 6" xfId="619" xr:uid="{E5F9FCA0-B038-496D-9EA5-621A5A26428A}"/>
    <cellStyle name="40% - Accent3 3 6 2" xfId="5627" xr:uid="{6F2FA815-D598-4E56-B56F-4B029D6E1ADB}"/>
    <cellStyle name="40% - Accent3 3 7" xfId="3912" xr:uid="{C9B0432F-D712-4EF9-807F-9B5B2563F3B8}"/>
    <cellStyle name="40% - Accent3 4" xfId="240" xr:uid="{511BF7C8-CB05-4642-992F-B211DF4D2567}"/>
    <cellStyle name="40% - Accent3 4 2" xfId="449" xr:uid="{D8022CFF-5385-4908-B18F-211CB1941BA7}"/>
    <cellStyle name="40% - Accent3 4 2 2" xfId="1309" xr:uid="{625758C2-5768-4C8D-88FF-57BBBB3BB722}"/>
    <cellStyle name="40% - Accent3 4 2 2 2" xfId="2450" xr:uid="{97A4F68E-D9F5-401E-ACAA-BEE6D31D1CFB}"/>
    <cellStyle name="40% - Accent3 4 2 2 2 2" xfId="3751" xr:uid="{E511DE2C-C141-4E43-A576-EB567219A082}"/>
    <cellStyle name="40% - Accent3 4 2 2 2 2 2" xfId="7208" xr:uid="{978CC7B4-3C96-42A1-9A71-3B789A2FF3E8}"/>
    <cellStyle name="40% - Accent3 4 2 2 2 3" xfId="5469" xr:uid="{5733C3EB-09C6-4465-8516-8706EE75D342}"/>
    <cellStyle name="40% - Accent3 4 2 2 3" xfId="2904" xr:uid="{2EE2F35C-FACB-4B7A-A4F6-7445B9C7F8B8}"/>
    <cellStyle name="40% - Accent3 4 2 2 3 2" xfId="6339" xr:uid="{A1C27774-D901-44E6-A743-508607C82712}"/>
    <cellStyle name="40% - Accent3 4 2 2 4" xfId="4599" xr:uid="{F8B06A69-3C41-4D93-A732-1A374464372A}"/>
    <cellStyle name="40% - Accent3 4 2 3" xfId="1766" xr:uid="{A6A45DF3-74FB-412F-8675-0FE3A64599C4}"/>
    <cellStyle name="40% - Accent3 4 2 3 2" xfId="3329" xr:uid="{A7BE84C4-D8D4-4469-A335-72070CD6F54F}"/>
    <cellStyle name="40% - Accent3 4 2 3 2 2" xfId="6773" xr:uid="{E3A8911F-8DBA-4214-9D8F-F328FF008BB7}"/>
    <cellStyle name="40% - Accent3 4 2 3 3" xfId="5034" xr:uid="{BC53F43C-4D97-4399-8633-59A1952A5857}"/>
    <cellStyle name="40% - Accent3 4 2 4" xfId="896" xr:uid="{ED5B7DAF-A0E3-47C4-8AE5-B914F05D99D9}"/>
    <cellStyle name="40% - Accent3 4 2 4 2" xfId="5904" xr:uid="{00173D3F-280E-47C8-8B29-3C6799D11295}"/>
    <cellStyle name="40% - Accent3 4 2 5" xfId="4171" xr:uid="{A9101178-A992-42B3-9C1D-5EFEBCD3B730}"/>
    <cellStyle name="40% - Accent3 4 3" xfId="1102" xr:uid="{08B6FD9D-9760-413E-8785-ACF4D47EFFE9}"/>
    <cellStyle name="40% - Accent3 4 3 2" xfId="2262" xr:uid="{891DB26A-1CB4-4230-93F7-311BE0080CA4}"/>
    <cellStyle name="40% - Accent3 4 3 2 2" xfId="3547" xr:uid="{1709723A-2EA9-4FB9-9E11-DC135625050A}"/>
    <cellStyle name="40% - Accent3 4 3 2 2 2" xfId="7001" xr:uid="{758B0AFC-DFE4-4901-B25F-43EBACAEAA69}"/>
    <cellStyle name="40% - Accent3 4 3 2 3" xfId="5262" xr:uid="{E41081C6-4203-415C-BF55-408C94F30FC0}"/>
    <cellStyle name="40% - Accent3 4 3 3" xfId="2700" xr:uid="{5000CB01-D876-4464-95E7-B4769D1D0AA2}"/>
    <cellStyle name="40% - Accent3 4 3 3 2" xfId="6132" xr:uid="{368DD10C-F250-4B28-8263-70A617E7C27B}"/>
    <cellStyle name="40% - Accent3 4 3 4" xfId="4392" xr:uid="{F0E80377-EE74-4F20-A5C2-8FA422EF7D1F}"/>
    <cellStyle name="40% - Accent3 4 4" xfId="1576" xr:uid="{2D76C7B6-357D-4045-8E8E-054AA49906C4}"/>
    <cellStyle name="40% - Accent3 4 4 2" xfId="3130" xr:uid="{464B1ED0-D2A7-402A-829A-1D03937A306F}"/>
    <cellStyle name="40% - Accent3 4 4 2 2" xfId="6566" xr:uid="{357CFC68-BE98-4C3A-BD4D-6F7237B2AC71}"/>
    <cellStyle name="40% - Accent3 4 4 3" xfId="4827" xr:uid="{7B88BCD9-D0DD-4751-BB78-1DBEAA4070EF}"/>
    <cellStyle name="40% - Accent3 4 5" xfId="689" xr:uid="{0956CF26-AE10-4829-A69E-5BC7A0E2DD43}"/>
    <cellStyle name="40% - Accent3 4 5 2" xfId="5697" xr:uid="{D9572FFE-6126-4CEF-9693-689D1D5418AC}"/>
    <cellStyle name="40% - Accent3 4 6" xfId="3975" xr:uid="{4C894C92-E10D-49BF-B96E-CFAAE6823388}"/>
    <cellStyle name="40% - Accent3 5" xfId="351" xr:uid="{5A748A69-AB15-40CF-A064-9C3FEE216908}"/>
    <cellStyle name="40% - Accent3 5 2" xfId="1216" xr:uid="{BD213564-C640-4D71-A40D-4C76DCCF75BA}"/>
    <cellStyle name="40% - Accent3 5 2 2" xfId="2362" xr:uid="{847A7E85-627D-46E5-A6E4-EA5C74EA4D3E}"/>
    <cellStyle name="40% - Accent3 5 2 2 2" xfId="3659" xr:uid="{79944B6B-5C9A-4CB5-8626-6789B6C8F0E5}"/>
    <cellStyle name="40% - Accent3 5 2 2 2 2" xfId="7115" xr:uid="{1CE648B1-1B95-4F4F-9301-1A7E3591DD18}"/>
    <cellStyle name="40% - Accent3 5 2 2 3" xfId="5376" xr:uid="{C44EE425-8BE1-4701-926E-7ECA860A2705}"/>
    <cellStyle name="40% - Accent3 5 2 3" xfId="2812" xr:uid="{E3EEF142-260A-4F06-AA33-1163152AA3C4}"/>
    <cellStyle name="40% - Accent3 5 2 3 2" xfId="6246" xr:uid="{7172652F-E45C-42F7-9778-4F68850A6CAC}"/>
    <cellStyle name="40% - Accent3 5 2 4" xfId="4506" xr:uid="{1BF05812-27E4-44A1-A42E-BE54323234F4}"/>
    <cellStyle name="40% - Accent3 5 3" xfId="1670" xr:uid="{302247ED-BC14-4D3E-8A5E-0E34F8D3D420}"/>
    <cellStyle name="40% - Accent3 5 3 2" xfId="3240" xr:uid="{8FF63824-A42D-4E5F-A4CC-8AF0DE21AD70}"/>
    <cellStyle name="40% - Accent3 5 3 2 2" xfId="6680" xr:uid="{CF1B42A1-C959-46DD-BDF1-5B1504947624}"/>
    <cellStyle name="40% - Accent3 5 3 3" xfId="4941" xr:uid="{EADF5B57-6F76-4BC0-A51C-EE41AC85EADB}"/>
    <cellStyle name="40% - Accent3 5 4" xfId="803" xr:uid="{74C6C52F-D624-4A2D-AF56-5E5BEEA0E5DB}"/>
    <cellStyle name="40% - Accent3 5 4 2" xfId="5811" xr:uid="{E1001C5E-332A-44BC-A12A-610913C2A9C6}"/>
    <cellStyle name="40% - Accent3 5 5" xfId="4083" xr:uid="{F9BAAEF9-015F-44FD-9B4E-C4E0DDEC2F7B}"/>
    <cellStyle name="40% - Accent3 6" xfId="1003" xr:uid="{A47E77D8-E9AC-410B-AC1D-5145F2B3DD22}"/>
    <cellStyle name="40% - Accent3 6 2" xfId="2179" xr:uid="{F2ABE1A5-E1CF-4744-AEFB-DDFE603A6316}"/>
    <cellStyle name="40% - Accent3 6 2 2" xfId="3452" xr:uid="{AB4196AB-1A83-41AC-889E-06B26DD3B2A0}"/>
    <cellStyle name="40% - Accent3 6 2 2 2" xfId="6901" xr:uid="{81C08223-8211-4615-BDBE-CA4CFD702A95}"/>
    <cellStyle name="40% - Accent3 6 2 3" xfId="5162" xr:uid="{704CD2A7-F436-49B7-9816-E7FA8E2759BF}"/>
    <cellStyle name="40% - Accent3 6 3" xfId="2609" xr:uid="{B8F13CC3-CC9B-43B2-8B15-FE199919A629}"/>
    <cellStyle name="40% - Accent3 6 3 2" xfId="6032" xr:uid="{CC59BEB6-4993-4339-A7BA-28D93FBDC459}"/>
    <cellStyle name="40% - Accent3 6 4" xfId="4294" xr:uid="{1FB4B2B8-386F-46D6-8141-6885420598E3}"/>
    <cellStyle name="40% - Accent3 7" xfId="1452" xr:uid="{953C2664-43B2-4EC8-BAE2-4EB422A86F88}"/>
    <cellStyle name="40% - Accent3 7 2" xfId="3032" xr:uid="{983D2268-6A54-4BD2-B430-60EDE75DEB0C}"/>
    <cellStyle name="40% - Accent3 7 2 2" xfId="6467" xr:uid="{EE27AFB3-C195-4B43-B95E-9AA27D42E4C9}"/>
    <cellStyle name="40% - Accent3 7 3" xfId="4727" xr:uid="{E26B370F-8016-4EF7-92C9-3C359AC861E2}"/>
    <cellStyle name="40% - Accent3 8" xfId="589" xr:uid="{8EFA8BA8-ED45-4D93-A8FA-B4F25A4EF24C}"/>
    <cellStyle name="40% - Accent3 8 2" xfId="5597" xr:uid="{0489F277-89FD-41FD-8CA2-9860BF609303}"/>
    <cellStyle name="40% - Accent3 9" xfId="3884" xr:uid="{3D4E7D92-A628-4C3C-B7E1-C31D69F53D84}"/>
    <cellStyle name="40% - Accent4" xfId="89" builtinId="43" customBuiltin="1"/>
    <cellStyle name="40% - Accent4 2" xfId="156" xr:uid="{C5FF0291-8F79-4015-8EE1-463F9BC1FEE3}"/>
    <cellStyle name="40% - Accent4 2 2" xfId="190" xr:uid="{3BDA8F9F-C8DA-443A-B49A-F924AD7D0748}"/>
    <cellStyle name="40% - Accent4 2 2 2" xfId="287" xr:uid="{B050ADD1-B9E7-47A4-86CB-0B57ACE0499B}"/>
    <cellStyle name="40% - Accent4 2 2 2 2" xfId="496" xr:uid="{0999DDBE-FB7F-4F07-9382-D919D719C112}"/>
    <cellStyle name="40% - Accent4 2 2 2 2 2" xfId="1356" xr:uid="{825D805F-C305-4FB0-A327-ECBB21BAE440}"/>
    <cellStyle name="40% - Accent4 2 2 2 2 2 2" xfId="2494" xr:uid="{A5317D55-6393-4F1B-AD7A-9385DED203C5}"/>
    <cellStyle name="40% - Accent4 2 2 2 2 2 2 2" xfId="3798" xr:uid="{354D2247-4EEA-4AC8-A304-4BA4835842B6}"/>
    <cellStyle name="40% - Accent4 2 2 2 2 2 2 2 2" xfId="7255" xr:uid="{D3E979BE-A0B3-4E77-A9E6-D0BEF6263C57}"/>
    <cellStyle name="40% - Accent4 2 2 2 2 2 2 3" xfId="5516" xr:uid="{9E3C1782-0942-4B05-8842-E3F742CA072A}"/>
    <cellStyle name="40% - Accent4 2 2 2 2 2 3" xfId="2951" xr:uid="{4CFC2D0E-C5AA-4DF6-8B1F-6D8E77980F87}"/>
    <cellStyle name="40% - Accent4 2 2 2 2 2 3 2" xfId="6386" xr:uid="{C8B74D30-5B80-447D-97D4-E4FD37FBB077}"/>
    <cellStyle name="40% - Accent4 2 2 2 2 2 4" xfId="4646" xr:uid="{E535D4A7-E065-4940-998E-AB3CEDD4AB09}"/>
    <cellStyle name="40% - Accent4 2 2 2 2 3" xfId="1813" xr:uid="{5C16CCD0-943F-4F54-A092-6CCBF676E082}"/>
    <cellStyle name="40% - Accent4 2 2 2 2 3 2" xfId="3373" xr:uid="{745B8848-C764-47C5-9924-C01FD0F9DD8D}"/>
    <cellStyle name="40% - Accent4 2 2 2 2 3 2 2" xfId="6820" xr:uid="{58236CD2-EC0A-494E-B19D-E32E7F3A3F16}"/>
    <cellStyle name="40% - Accent4 2 2 2 2 3 3" xfId="5081" xr:uid="{FC133C22-D513-4742-999C-8246DE79A9DA}"/>
    <cellStyle name="40% - Accent4 2 2 2 2 4" xfId="943" xr:uid="{14D47853-3F5C-4B06-9A9B-C9BC915D0CC6}"/>
    <cellStyle name="40% - Accent4 2 2 2 2 4 2" xfId="5951" xr:uid="{A487122B-982E-4F45-8174-D77BFDA8FB50}"/>
    <cellStyle name="40% - Accent4 2 2 2 2 5" xfId="4215" xr:uid="{3D7737D1-852F-4B14-92D0-480CCDF686C4}"/>
    <cellStyle name="40% - Accent4 2 2 2 3" xfId="1149" xr:uid="{20014943-22A9-4FB4-9407-D7533468E3AB}"/>
    <cellStyle name="40% - Accent4 2 2 2 3 2" xfId="2306" xr:uid="{03FFED1C-70CC-4FA7-B235-AFDD7746F445}"/>
    <cellStyle name="40% - Accent4 2 2 2 3 2 2" xfId="3593" xr:uid="{839082B8-68DC-41B0-BA83-ED573DEA3493}"/>
    <cellStyle name="40% - Accent4 2 2 2 3 2 2 2" xfId="7048" xr:uid="{DFA0610C-7603-4739-8396-428CC661BEB4}"/>
    <cellStyle name="40% - Accent4 2 2 2 3 2 3" xfId="5309" xr:uid="{44D6937F-D6FB-4950-AE7C-E54E02A5216F}"/>
    <cellStyle name="40% - Accent4 2 2 2 3 3" xfId="2746" xr:uid="{5E00EAC2-AD42-4C59-9525-2B97DEFDD48C}"/>
    <cellStyle name="40% - Accent4 2 2 2 3 3 2" xfId="6179" xr:uid="{F3D65B5D-1C69-45C9-B592-821F848BD0DD}"/>
    <cellStyle name="40% - Accent4 2 2 2 3 4" xfId="4439" xr:uid="{9C6821CD-62FD-4919-9319-144BB5B48B66}"/>
    <cellStyle name="40% - Accent4 2 2 2 4" xfId="1623" xr:uid="{CA22D34A-C286-41A5-8CFC-0747CEBB2ACA}"/>
    <cellStyle name="40% - Accent4 2 2 2 4 2" xfId="3175" xr:uid="{10B7F7B4-58B3-4BBE-A5D0-0D386D4E2B4E}"/>
    <cellStyle name="40% - Accent4 2 2 2 4 2 2" xfId="6613" xr:uid="{9A49D547-1624-4E74-8EFC-E11C590BFD5E}"/>
    <cellStyle name="40% - Accent4 2 2 2 4 3" xfId="4874" xr:uid="{2EB8663A-4263-4AB7-899F-9FE7EA34D9F7}"/>
    <cellStyle name="40% - Accent4 2 2 2 5" xfId="736" xr:uid="{F4A4529E-6D5E-48F2-A38A-C64C3ABF408B}"/>
    <cellStyle name="40% - Accent4 2 2 2 5 2" xfId="5744" xr:uid="{7E46FB6B-C08E-4468-AEC3-126E498F0852}"/>
    <cellStyle name="40% - Accent4 2 2 2 6" xfId="4019" xr:uid="{F82B9024-8D7E-4CBD-8502-7146C066BFC0}"/>
    <cellStyle name="40% - Accent4 2 2 3" xfId="403" xr:uid="{68896C84-AE85-4E52-9C8D-788832CE7800}"/>
    <cellStyle name="40% - Accent4 2 2 3 2" xfId="1263" xr:uid="{85151ACD-EB76-4BFE-B30B-7F69E27B294D}"/>
    <cellStyle name="40% - Accent4 2 2 3 2 2" xfId="2406" xr:uid="{AE05132D-2A8C-4A29-92A3-AF6E3594E1C1}"/>
    <cellStyle name="40% - Accent4 2 2 3 2 2 2" xfId="3705" xr:uid="{99469946-C2D7-44CF-8020-2411A96F7BDC}"/>
    <cellStyle name="40% - Accent4 2 2 3 2 2 2 2" xfId="7162" xr:uid="{08AAE962-CA30-4014-803C-0E2759DDE643}"/>
    <cellStyle name="40% - Accent4 2 2 3 2 2 3" xfId="5423" xr:uid="{3422EAD1-3133-44B4-BFD7-38B25FF91AF0}"/>
    <cellStyle name="40% - Accent4 2 2 3 2 3" xfId="2858" xr:uid="{16D84C61-ACF3-482C-A3C0-E06C44D72073}"/>
    <cellStyle name="40% - Accent4 2 2 3 2 3 2" xfId="6293" xr:uid="{1753A8F3-6CA6-40A2-8F39-BE6A56879862}"/>
    <cellStyle name="40% - Accent4 2 2 3 2 4" xfId="4553" xr:uid="{41C7F036-7677-4903-8CE0-22A729F9E69F}"/>
    <cellStyle name="40% - Accent4 2 2 3 3" xfId="1720" xr:uid="{E650D611-430D-41BA-B640-42026A6C21FF}"/>
    <cellStyle name="40% - Accent4 2 2 3 3 2" xfId="3285" xr:uid="{F36C561E-E336-47A1-8370-DDDE6BF5EDF8}"/>
    <cellStyle name="40% - Accent4 2 2 3 3 2 2" xfId="6727" xr:uid="{DDA85F7F-4EE7-45DB-966C-F09016CF43CE}"/>
    <cellStyle name="40% - Accent4 2 2 3 3 3" xfId="4988" xr:uid="{044419D0-72A6-4B42-942A-D4FD7EFA8283}"/>
    <cellStyle name="40% - Accent4 2 2 3 4" xfId="850" xr:uid="{D370E5FC-1401-4410-9883-F32DFEE1B94F}"/>
    <cellStyle name="40% - Accent4 2 2 3 4 2" xfId="5858" xr:uid="{303E6257-7433-4C17-A414-0460BE88A95E}"/>
    <cellStyle name="40% - Accent4 2 2 3 5" xfId="4127" xr:uid="{4483E31E-6D29-4A8A-B4F4-27C4150252E0}"/>
    <cellStyle name="40% - Accent4 2 2 4" xfId="1050" xr:uid="{27E70492-6057-436E-AC3B-986CACBEC298}"/>
    <cellStyle name="40% - Accent4 2 2 4 2" xfId="2223" xr:uid="{4F70670F-9C17-435A-9BD9-147886D5367C}"/>
    <cellStyle name="40% - Accent4 2 2 4 2 2" xfId="3496" xr:uid="{754EA5C4-E38D-42AE-B4BD-FE8C53812347}"/>
    <cellStyle name="40% - Accent4 2 2 4 2 2 2" xfId="6948" xr:uid="{FCD2712D-DA0B-42D7-A3F3-C5B1B19C05BD}"/>
    <cellStyle name="40% - Accent4 2 2 4 2 3" xfId="5209" xr:uid="{9B9DD553-8F6A-4933-81B7-981C938C9FF4}"/>
    <cellStyle name="40% - Accent4 2 2 4 3" xfId="2653" xr:uid="{EA01C828-D265-41EA-9A2A-8565DC24DCD6}"/>
    <cellStyle name="40% - Accent4 2 2 4 3 2" xfId="6079" xr:uid="{09C9C99A-5852-4755-B706-2BDAFF15BEB9}"/>
    <cellStyle name="40% - Accent4 2 2 4 4" xfId="4340" xr:uid="{BD3A60A6-0312-48C6-934D-CD20F9AEFD0B}"/>
    <cellStyle name="40% - Accent4 2 2 5" xfId="1505" xr:uid="{929897BB-272B-4883-921B-C212549B3CE6}"/>
    <cellStyle name="40% - Accent4 2 2 5 2" xfId="3079" xr:uid="{B1D25BAF-F70A-492A-AD45-2125A5B58395}"/>
    <cellStyle name="40% - Accent4 2 2 5 2 2" xfId="6514" xr:uid="{C345DC45-C2A2-4B8C-BFE4-0B08C068C439}"/>
    <cellStyle name="40% - Accent4 2 2 5 3" xfId="4774" xr:uid="{B562899F-FF8E-493E-B6BA-624000A1E1A8}"/>
    <cellStyle name="40% - Accent4 2 2 6" xfId="636" xr:uid="{3FB2682B-7173-4E21-9F96-3534340B88BE}"/>
    <cellStyle name="40% - Accent4 2 2 6 2" xfId="5644" xr:uid="{1605A49D-279D-4A0A-A022-A2C2EB3A0D9F}"/>
    <cellStyle name="40% - Accent4 2 2 7" xfId="3928" xr:uid="{6E771119-28E9-4BE7-8B52-3C785BEB9EA1}"/>
    <cellStyle name="40% - Accent4 2 3" xfId="257" xr:uid="{25A02E62-9173-487E-9287-AF56D47703FB}"/>
    <cellStyle name="40% - Accent4 2 3 2" xfId="466" xr:uid="{90199BE0-5275-48F8-BC30-70E7530DF45D}"/>
    <cellStyle name="40% - Accent4 2 3 2 2" xfId="1326" xr:uid="{18BAFA09-CF28-4B4A-A2BB-BB83B357CFA6}"/>
    <cellStyle name="40% - Accent4 2 3 2 2 2" xfId="2466" xr:uid="{B25768B4-9781-4240-B334-82151FFF1C8A}"/>
    <cellStyle name="40% - Accent4 2 3 2 2 2 2" xfId="3768" xr:uid="{80A4B320-D0E9-4D8A-BFEF-4C6B1E88DF8D}"/>
    <cellStyle name="40% - Accent4 2 3 2 2 2 2 2" xfId="7225" xr:uid="{39788B66-E23D-4013-B47A-47E637DCB049}"/>
    <cellStyle name="40% - Accent4 2 3 2 2 2 3" xfId="5486" xr:uid="{A2F9B7C9-7757-4467-91E7-FE3187ECCE2F}"/>
    <cellStyle name="40% - Accent4 2 3 2 2 3" xfId="2921" xr:uid="{7B8D81F6-BF28-44A7-971E-62E4F4F48713}"/>
    <cellStyle name="40% - Accent4 2 3 2 2 3 2" xfId="6356" xr:uid="{56092B4E-6CC3-4963-9003-DCE26CAA5963}"/>
    <cellStyle name="40% - Accent4 2 3 2 2 4" xfId="4616" xr:uid="{CAD6C7C6-24C3-4E2F-89FF-EDFF58F31CE5}"/>
    <cellStyle name="40% - Accent4 2 3 2 3" xfId="1783" xr:uid="{144FEFA0-CA7B-4D39-9FF5-2987EF15C862}"/>
    <cellStyle name="40% - Accent4 2 3 2 3 2" xfId="3345" xr:uid="{D205B116-0186-4125-99E5-A5A8DC35371C}"/>
    <cellStyle name="40% - Accent4 2 3 2 3 2 2" xfId="6790" xr:uid="{3F4C5D33-67E5-4DCE-AAB8-4189A2C7D9DB}"/>
    <cellStyle name="40% - Accent4 2 3 2 3 3" xfId="5051" xr:uid="{E9599222-8987-4EB2-8E8A-833A8ED9CCE2}"/>
    <cellStyle name="40% - Accent4 2 3 2 4" xfId="913" xr:uid="{C32B73E0-7276-4FE6-8867-E005F1944D32}"/>
    <cellStyle name="40% - Accent4 2 3 2 4 2" xfId="5921" xr:uid="{2D756023-F970-4A34-9344-3E0D0D938931}"/>
    <cellStyle name="40% - Accent4 2 3 2 5" xfId="4187" xr:uid="{9F41060C-3A56-47EF-92D6-CD5140F3A388}"/>
    <cellStyle name="40% - Accent4 2 3 3" xfId="1119" xr:uid="{AC3D5A3B-42EF-4235-9027-342DA310544E}"/>
    <cellStyle name="40% - Accent4 2 3 3 2" xfId="2278" xr:uid="{5703F64D-1881-4849-87B5-4C5F1A4DB22C}"/>
    <cellStyle name="40% - Accent4 2 3 3 2 2" xfId="3563" xr:uid="{A74F8C6F-50FF-4C72-BA45-25CB587A1DE5}"/>
    <cellStyle name="40% - Accent4 2 3 3 2 2 2" xfId="7018" xr:uid="{FE13FC04-E1BC-4E0F-88A7-4066D0FA47FB}"/>
    <cellStyle name="40% - Accent4 2 3 3 2 3" xfId="5279" xr:uid="{FF0E8AC9-22C0-445A-AB10-84577C4EE192}"/>
    <cellStyle name="40% - Accent4 2 3 3 3" xfId="2716" xr:uid="{EE737256-8603-436A-8ECA-76F143F6B45C}"/>
    <cellStyle name="40% - Accent4 2 3 3 3 2" xfId="6149" xr:uid="{C5FA7475-85A5-4C14-BFD1-CAAF9F5AE875}"/>
    <cellStyle name="40% - Accent4 2 3 3 4" xfId="4409" xr:uid="{88D35A8A-4317-4E6E-8AE7-E6E922C54EFD}"/>
    <cellStyle name="40% - Accent4 2 3 4" xfId="1593" xr:uid="{246F15D5-AD8C-4975-BB33-544561F65736}"/>
    <cellStyle name="40% - Accent4 2 3 4 2" xfId="3147" xr:uid="{2BE50230-4FBF-4E23-9553-CF2BE658A9D0}"/>
    <cellStyle name="40% - Accent4 2 3 4 2 2" xfId="6583" xr:uid="{587118EF-1A24-4A96-8E8B-8A06902B2098}"/>
    <cellStyle name="40% - Accent4 2 3 4 3" xfId="4844" xr:uid="{07785A7E-4E7C-47FA-8275-20F99EC50871}"/>
    <cellStyle name="40% - Accent4 2 3 5" xfId="706" xr:uid="{C719AD82-1B64-4FB0-8BAD-F6859B884CE4}"/>
    <cellStyle name="40% - Accent4 2 3 5 2" xfId="5714" xr:uid="{E5476E0E-5055-4998-8E9F-225C815F0613}"/>
    <cellStyle name="40% - Accent4 2 3 6" xfId="3991" xr:uid="{259250CB-BB31-43DC-8DCA-DBA0CB7CE39D}"/>
    <cellStyle name="40% - Accent4 2 4" xfId="371" xr:uid="{07D9A9B5-3053-4D75-8A7A-50F07648CEE2}"/>
    <cellStyle name="40% - Accent4 2 4 2" xfId="1233" xr:uid="{0E335C13-1D2F-4764-8494-143C49F2E10F}"/>
    <cellStyle name="40% - Accent4 2 4 2 2" xfId="2378" xr:uid="{10028A6A-139F-4FB7-B416-6555441A35DF}"/>
    <cellStyle name="40% - Accent4 2 4 2 2 2" xfId="3675" xr:uid="{140F1E7C-826F-47E1-876B-5E5B5258C5A5}"/>
    <cellStyle name="40% - Accent4 2 4 2 2 2 2" xfId="7132" xr:uid="{634E98AD-902F-4BFA-9821-BE812554C10F}"/>
    <cellStyle name="40% - Accent4 2 4 2 2 3" xfId="5393" xr:uid="{DD499C5C-2C62-4115-BF78-5AC312653CBE}"/>
    <cellStyle name="40% - Accent4 2 4 2 3" xfId="2828" xr:uid="{4871D80F-AF3F-4300-8414-C0B9B9E83739}"/>
    <cellStyle name="40% - Accent4 2 4 2 3 2" xfId="6263" xr:uid="{90C0643C-BB03-4EC8-AD7D-8DEE50F540B9}"/>
    <cellStyle name="40% - Accent4 2 4 2 4" xfId="4523" xr:uid="{6E8C8266-08C7-4894-8DF0-FC93D1C2EA87}"/>
    <cellStyle name="40% - Accent4 2 4 3" xfId="1689" xr:uid="{2538E7E7-D8BA-4FB0-B111-367AACA4016A}"/>
    <cellStyle name="40% - Accent4 2 4 3 2" xfId="3257" xr:uid="{D194A78C-D6A9-40A0-B9FF-AB8D80389D72}"/>
    <cellStyle name="40% - Accent4 2 4 3 2 2" xfId="6697" xr:uid="{087396A0-0A4A-4C59-8A1A-DE0FCA404FEA}"/>
    <cellStyle name="40% - Accent4 2 4 3 3" xfId="4958" xr:uid="{3648FECB-6A4C-458F-A5AA-FF42B05E2913}"/>
    <cellStyle name="40% - Accent4 2 4 4" xfId="820" xr:uid="{5ACEA0F1-1B5D-43E0-86C9-4136D4D309F0}"/>
    <cellStyle name="40% - Accent4 2 4 4 2" xfId="5828" xr:uid="{1ECEB3E9-9AAE-4916-A629-326099B523C5}"/>
    <cellStyle name="40% - Accent4 2 4 5" xfId="4099" xr:uid="{38186978-A6AF-49B7-8930-C8201CD183C7}"/>
    <cellStyle name="40% - Accent4 2 5" xfId="1020" xr:uid="{A762F2C4-4AD5-421B-9287-FA3E94014780}"/>
    <cellStyle name="40% - Accent4 2 5 2" xfId="2195" xr:uid="{D716171A-4B7E-4CB9-81C3-B5B076AAF6DA}"/>
    <cellStyle name="40% - Accent4 2 5 2 2" xfId="3468" xr:uid="{77E4136F-B02B-44C4-8983-3CF0D10B3ABD}"/>
    <cellStyle name="40% - Accent4 2 5 2 2 2" xfId="6918" xr:uid="{4B700439-F6A3-447D-A70D-953202FBC045}"/>
    <cellStyle name="40% - Accent4 2 5 2 3" xfId="5179" xr:uid="{805F6B3B-530C-4BDC-B87F-DDDA0E74289F}"/>
    <cellStyle name="40% - Accent4 2 5 3" xfId="2625" xr:uid="{0DC8ADDB-E620-4DA6-A7E1-03D13B9ED2F1}"/>
    <cellStyle name="40% - Accent4 2 5 3 2" xfId="6049" xr:uid="{104F3C32-1A28-4946-80B6-699A1FC427DB}"/>
    <cellStyle name="40% - Accent4 2 5 4" xfId="4310" xr:uid="{79CC54D2-ECAF-4819-A25C-162073512832}"/>
    <cellStyle name="40% - Accent4 2 6" xfId="1474" xr:uid="{9CA678AD-2149-44E6-B143-1F2D8CB407AC}"/>
    <cellStyle name="40% - Accent4 2 6 2" xfId="3049" xr:uid="{BF2161EC-B1C0-45A7-A19B-B37BF354FF57}"/>
    <cellStyle name="40% - Accent4 2 6 2 2" xfId="6484" xr:uid="{3DA403EE-F64B-4238-B846-5D4605C4005B}"/>
    <cellStyle name="40% - Accent4 2 6 3" xfId="4744" xr:uid="{9D90C970-26BE-410E-8370-0F674810E07E}"/>
    <cellStyle name="40% - Accent4 2 7" xfId="606" xr:uid="{E291D7C0-D21C-4846-A6D5-313AFFA06F4A}"/>
    <cellStyle name="40% - Accent4 2 7 2" xfId="5614" xr:uid="{9DA8AB73-983A-4B0B-B522-477441CE98B8}"/>
    <cellStyle name="40% - Accent4 2 8" xfId="3900" xr:uid="{07479E09-E3E1-4BD0-8CC8-07810967276E}"/>
    <cellStyle name="40% - Accent4 3" xfId="175" xr:uid="{A7157B37-6D79-4FC2-BAC3-E311D4B6D876}"/>
    <cellStyle name="40% - Accent4 3 2" xfId="272" xr:uid="{3DCCAAFB-F647-4D62-BA4B-4A33B0FBD1F8}"/>
    <cellStyle name="40% - Accent4 3 2 2" xfId="481" xr:uid="{F03D81AC-9F20-4529-AA63-4D1BE4D2CC41}"/>
    <cellStyle name="40% - Accent4 3 2 2 2" xfId="1341" xr:uid="{35BA635D-ED44-401A-9C30-02F19A757975}"/>
    <cellStyle name="40% - Accent4 3 2 2 2 2" xfId="2480" xr:uid="{E7AA6D3E-7904-4C8C-B7C2-64621A4CDFF8}"/>
    <cellStyle name="40% - Accent4 3 2 2 2 2 2" xfId="3783" xr:uid="{6CF331D1-5CDE-4AEC-AD40-7B795773D349}"/>
    <cellStyle name="40% - Accent4 3 2 2 2 2 2 2" xfId="7240" xr:uid="{80DF899C-069E-4883-9223-1DB96FFF4575}"/>
    <cellStyle name="40% - Accent4 3 2 2 2 2 3" xfId="5501" xr:uid="{C8AAE7C0-6712-425C-8B2A-C77541A2BE28}"/>
    <cellStyle name="40% - Accent4 3 2 2 2 3" xfId="2936" xr:uid="{075B3447-B969-4C82-AFF3-B0FA99FCB7BC}"/>
    <cellStyle name="40% - Accent4 3 2 2 2 3 2" xfId="6371" xr:uid="{7C6DCEF4-4232-499C-8DA8-3E000E3B5F01}"/>
    <cellStyle name="40% - Accent4 3 2 2 2 4" xfId="4631" xr:uid="{E1BD9CD4-9315-4F06-BE9F-1D781CDAF205}"/>
    <cellStyle name="40% - Accent4 3 2 2 3" xfId="1798" xr:uid="{D797858A-67EC-4B31-8031-A16E0A64FE8A}"/>
    <cellStyle name="40% - Accent4 3 2 2 3 2" xfId="3359" xr:uid="{B6B562A1-524D-432A-971F-F2FA812EB433}"/>
    <cellStyle name="40% - Accent4 3 2 2 3 2 2" xfId="6805" xr:uid="{5BE620BD-AE65-4F06-AACA-7153CCFE3475}"/>
    <cellStyle name="40% - Accent4 3 2 2 3 3" xfId="5066" xr:uid="{A3C811F6-5C04-43FA-A79F-A3923DCB616A}"/>
    <cellStyle name="40% - Accent4 3 2 2 4" xfId="928" xr:uid="{9779B6C9-58A4-4412-BEA2-804B38292C0B}"/>
    <cellStyle name="40% - Accent4 3 2 2 4 2" xfId="5936" xr:uid="{3AC139CC-7667-4083-938E-237C560764B0}"/>
    <cellStyle name="40% - Accent4 3 2 2 5" xfId="4201" xr:uid="{E05F8ABD-2DD2-4F0B-A6EB-CC71E34C09AC}"/>
    <cellStyle name="40% - Accent4 3 2 3" xfId="1134" xr:uid="{5162401E-8FDD-40A6-AB0B-4558D2B3CD26}"/>
    <cellStyle name="40% - Accent4 3 2 3 2" xfId="2292" xr:uid="{D3051417-8A03-4EED-90A5-5F89E1D4ED3A}"/>
    <cellStyle name="40% - Accent4 3 2 3 2 2" xfId="3578" xr:uid="{1FD81787-E13D-4F3C-A3C4-C5B2390D9E07}"/>
    <cellStyle name="40% - Accent4 3 2 3 2 2 2" xfId="7033" xr:uid="{6AFF08D2-91B1-4195-BED4-9055E3A3B926}"/>
    <cellStyle name="40% - Accent4 3 2 3 2 3" xfId="5294" xr:uid="{6F2A362C-1A83-47D1-BEC5-D5735AB477FA}"/>
    <cellStyle name="40% - Accent4 3 2 3 3" xfId="2731" xr:uid="{788DADB2-68A0-41B3-A6A5-914A888909D2}"/>
    <cellStyle name="40% - Accent4 3 2 3 3 2" xfId="6164" xr:uid="{480398E1-9D26-46AB-B54A-D7530C34E8F1}"/>
    <cellStyle name="40% - Accent4 3 2 3 4" xfId="4424" xr:uid="{6950B423-6D89-42A6-A8D0-33CBEF621DBF}"/>
    <cellStyle name="40% - Accent4 3 2 4" xfId="1608" xr:uid="{A21A28BD-90A1-4A9E-B887-CD60670F1AA9}"/>
    <cellStyle name="40% - Accent4 3 2 4 2" xfId="3161" xr:uid="{FECB52CB-DB4F-4508-BA60-73EEEF77481D}"/>
    <cellStyle name="40% - Accent4 3 2 4 2 2" xfId="6598" xr:uid="{2A9CC33D-C94E-4045-AAC6-1953AA8DBCEB}"/>
    <cellStyle name="40% - Accent4 3 2 4 3" xfId="4859" xr:uid="{D15A2CB4-8311-41C7-B02E-BBC79027D4C7}"/>
    <cellStyle name="40% - Accent4 3 2 5" xfId="721" xr:uid="{C027D2B5-6C52-454C-93DA-2EB4DACA76DA}"/>
    <cellStyle name="40% - Accent4 3 2 5 2" xfId="5729" xr:uid="{8AECF102-9DA7-4096-A61C-DE557A10202E}"/>
    <cellStyle name="40% - Accent4 3 2 6" xfId="4005" xr:uid="{12D30DC8-5058-4394-A2B4-451B70E70EC0}"/>
    <cellStyle name="40% - Accent4 3 3" xfId="388" xr:uid="{4A356584-2532-433C-A407-29D5E6168ED9}"/>
    <cellStyle name="40% - Accent4 3 3 2" xfId="1248" xr:uid="{0803192B-1C55-494A-BB3C-6E70268AF8D2}"/>
    <cellStyle name="40% - Accent4 3 3 2 2" xfId="2392" xr:uid="{F80F2015-15BE-4F8C-B82F-CBD86909A454}"/>
    <cellStyle name="40% - Accent4 3 3 2 2 2" xfId="3690" xr:uid="{8BA603F5-0582-4163-8C1F-CA21CF52F99B}"/>
    <cellStyle name="40% - Accent4 3 3 2 2 2 2" xfId="7147" xr:uid="{0A16A878-1FF5-452A-A657-6546AA016FC5}"/>
    <cellStyle name="40% - Accent4 3 3 2 2 3" xfId="5408" xr:uid="{3AB70C62-1E93-42E4-BFA8-AA3949A5765D}"/>
    <cellStyle name="40% - Accent4 3 3 2 3" xfId="2843" xr:uid="{D8309C5D-36DD-4628-8FE2-A690E6C61C02}"/>
    <cellStyle name="40% - Accent4 3 3 2 3 2" xfId="6278" xr:uid="{1BC46F2C-5F2E-4E71-B16E-865EC625A72B}"/>
    <cellStyle name="40% - Accent4 3 3 2 4" xfId="4538" xr:uid="{9FD35546-8358-4D7E-B08E-56D5709FB0B6}"/>
    <cellStyle name="40% - Accent4 3 3 3" xfId="1705" xr:uid="{7D6DA675-F168-4A33-A263-07E3FE0260AC}"/>
    <cellStyle name="40% - Accent4 3 3 3 2" xfId="3271" xr:uid="{76337E8C-4E49-43C3-AA8A-89135956CBDC}"/>
    <cellStyle name="40% - Accent4 3 3 3 2 2" xfId="6712" xr:uid="{0D856864-A335-4487-9A7F-BDA2D5056983}"/>
    <cellStyle name="40% - Accent4 3 3 3 3" xfId="4973" xr:uid="{D1ACE737-7D83-4430-9A45-9617C94FA1A7}"/>
    <cellStyle name="40% - Accent4 3 3 4" xfId="835" xr:uid="{5D312887-FFDC-4F18-AF51-35499EC08E2E}"/>
    <cellStyle name="40% - Accent4 3 3 4 2" xfId="5843" xr:uid="{D0B078FB-25C3-4A02-BBBD-4C14E320AC84}"/>
    <cellStyle name="40% - Accent4 3 3 5" xfId="4113" xr:uid="{EEBB9BAD-B89D-41D5-92A0-51DEA770D8D9}"/>
    <cellStyle name="40% - Accent4 3 4" xfId="1035" xr:uid="{01AB3762-717F-48F7-B2FC-42070316E21A}"/>
    <cellStyle name="40% - Accent4 3 4 2" xfId="2209" xr:uid="{2E216D55-CC3F-4ED8-B6D0-9E9189FDD698}"/>
    <cellStyle name="40% - Accent4 3 4 2 2" xfId="3482" xr:uid="{693160AD-629B-4348-8DE2-9BAA8A84C29E}"/>
    <cellStyle name="40% - Accent4 3 4 2 2 2" xfId="6933" xr:uid="{26BD3E68-952A-41B2-B9BC-1086B45DF0AC}"/>
    <cellStyle name="40% - Accent4 3 4 2 3" xfId="5194" xr:uid="{DD07B084-744D-4005-88F1-CC1BA2F5E556}"/>
    <cellStyle name="40% - Accent4 3 4 3" xfId="2639" xr:uid="{C61C6F19-FF6C-4DF7-BC86-A44ACF9BF940}"/>
    <cellStyle name="40% - Accent4 3 4 3 2" xfId="6064" xr:uid="{0BA454DC-1B09-4012-B7CC-F1945E7E58F9}"/>
    <cellStyle name="40% - Accent4 3 4 4" xfId="4325" xr:uid="{C49E86FF-177E-443C-8348-8B55BDCE74AD}"/>
    <cellStyle name="40% - Accent4 3 5" xfId="1490" xr:uid="{6DE4CBD9-EB36-4E01-95FD-A49581866EAA}"/>
    <cellStyle name="40% - Accent4 3 5 2" xfId="3064" xr:uid="{2BF312FA-99AD-46C8-9CCB-186852A23D37}"/>
    <cellStyle name="40% - Accent4 3 5 2 2" xfId="6499" xr:uid="{14E6B9BF-B86A-4BD3-AB61-7A87A6E1C2B7}"/>
    <cellStyle name="40% - Accent4 3 5 3" xfId="4759" xr:uid="{97D1BF17-6704-47F5-B3D3-0FD178C9647E}"/>
    <cellStyle name="40% - Accent4 3 6" xfId="621" xr:uid="{99E294A3-2A83-464E-9F1C-74AAAF519F49}"/>
    <cellStyle name="40% - Accent4 3 6 2" xfId="5629" xr:uid="{190106F0-1B0E-4145-82C6-42024763C3D0}"/>
    <cellStyle name="40% - Accent4 3 7" xfId="3914" xr:uid="{23FFCEDC-4200-4E9E-B1E2-23B5C412141A}"/>
    <cellStyle name="40% - Accent4 4" xfId="242" xr:uid="{AA5BA5A4-332F-46B3-915C-A057D35254E3}"/>
    <cellStyle name="40% - Accent4 4 2" xfId="451" xr:uid="{5AB820D3-A0B3-4207-A93D-8D45BAE951A6}"/>
    <cellStyle name="40% - Accent4 4 2 2" xfId="1311" xr:uid="{3F398B9B-02C2-4AD1-B3EE-405BCEC305C2}"/>
    <cellStyle name="40% - Accent4 4 2 2 2" xfId="2452" xr:uid="{CCB88ED6-318F-46F4-B5B9-34F152F53974}"/>
    <cellStyle name="40% - Accent4 4 2 2 2 2" xfId="3753" xr:uid="{FCF9250F-4D94-458A-94D2-24F037AAFA9F}"/>
    <cellStyle name="40% - Accent4 4 2 2 2 2 2" xfId="7210" xr:uid="{3E39F1CA-A679-479A-98E4-0B354DB7AF89}"/>
    <cellStyle name="40% - Accent4 4 2 2 2 3" xfId="5471" xr:uid="{2E1620DB-F6E3-4E42-9151-6E33EA6E162E}"/>
    <cellStyle name="40% - Accent4 4 2 2 3" xfId="2906" xr:uid="{6A9913F6-CF51-433D-B8E4-D660A9A2ED24}"/>
    <cellStyle name="40% - Accent4 4 2 2 3 2" xfId="6341" xr:uid="{A6D7869D-F244-4385-8534-B14E728937D0}"/>
    <cellStyle name="40% - Accent4 4 2 2 4" xfId="4601" xr:uid="{43376E53-C5CC-42DB-A073-7EE34CAE1FA9}"/>
    <cellStyle name="40% - Accent4 4 2 3" xfId="1768" xr:uid="{F0212ADA-AC63-421D-A21D-2F882B669024}"/>
    <cellStyle name="40% - Accent4 4 2 3 2" xfId="3331" xr:uid="{01F86320-10C9-4D1A-97C7-8BCE21429737}"/>
    <cellStyle name="40% - Accent4 4 2 3 2 2" xfId="6775" xr:uid="{CC6A8A3E-82D7-4ADC-99C6-D0F41D316726}"/>
    <cellStyle name="40% - Accent4 4 2 3 3" xfId="5036" xr:uid="{E74534C0-DE7B-4C97-9ECC-7A0FEC243CF7}"/>
    <cellStyle name="40% - Accent4 4 2 4" xfId="898" xr:uid="{1A93801D-C856-4E3C-874B-0E6F83A2217E}"/>
    <cellStyle name="40% - Accent4 4 2 4 2" xfId="5906" xr:uid="{508CE68F-3654-4549-9CDD-A8F04F78EAFC}"/>
    <cellStyle name="40% - Accent4 4 2 5" xfId="4173" xr:uid="{40AB7408-CE6F-4621-B5CD-80E88B564D09}"/>
    <cellStyle name="40% - Accent4 4 3" xfId="1104" xr:uid="{5B9596E3-578C-442F-99A7-620FFBD14DD5}"/>
    <cellStyle name="40% - Accent4 4 3 2" xfId="2264" xr:uid="{1E582912-6821-4756-B98C-5A5C7D2E512F}"/>
    <cellStyle name="40% - Accent4 4 3 2 2" xfId="3549" xr:uid="{A3DAA176-F2A1-4758-B2E6-F4F48E369079}"/>
    <cellStyle name="40% - Accent4 4 3 2 2 2" xfId="7003" xr:uid="{67C34023-B9A8-4FE2-B343-27CAD89DC835}"/>
    <cellStyle name="40% - Accent4 4 3 2 3" xfId="5264" xr:uid="{8D915FBB-8E2C-4F5B-B4F4-B0ED37E53E4F}"/>
    <cellStyle name="40% - Accent4 4 3 3" xfId="2702" xr:uid="{5B437427-C5D2-4D71-82B8-B1807E6BBC06}"/>
    <cellStyle name="40% - Accent4 4 3 3 2" xfId="6134" xr:uid="{319CF617-5E9E-4291-AEB6-78D10B52FFF9}"/>
    <cellStyle name="40% - Accent4 4 3 4" xfId="4394" xr:uid="{2EC8D8D5-8949-4049-8ACF-D4F5196157B7}"/>
    <cellStyle name="40% - Accent4 4 4" xfId="1578" xr:uid="{BAE76F2A-B984-4376-81FF-802C695D9251}"/>
    <cellStyle name="40% - Accent4 4 4 2" xfId="3132" xr:uid="{A8F29761-EBE9-4BED-8B7E-98FDB5E16ADD}"/>
    <cellStyle name="40% - Accent4 4 4 2 2" xfId="6568" xr:uid="{401F2BDE-2977-4A49-BB72-0E46C6086B16}"/>
    <cellStyle name="40% - Accent4 4 4 3" xfId="4829" xr:uid="{8C5FB26D-351A-4754-9D73-8433FBD56731}"/>
    <cellStyle name="40% - Accent4 4 5" xfId="691" xr:uid="{AA6A7AFD-A77F-41E6-B54F-BEA7AE19C024}"/>
    <cellStyle name="40% - Accent4 4 5 2" xfId="5699" xr:uid="{8FBD7A9D-5260-4BD2-8900-78C6F2CDD808}"/>
    <cellStyle name="40% - Accent4 4 6" xfId="3977" xr:uid="{89341668-C666-4CFB-B187-DD335E89679E}"/>
    <cellStyle name="40% - Accent4 5" xfId="353" xr:uid="{88A6E25E-A551-48CD-B48A-C19DDD797B97}"/>
    <cellStyle name="40% - Accent4 5 2" xfId="1218" xr:uid="{84EC2812-DD9B-4237-9D6D-A08219DD9E0F}"/>
    <cellStyle name="40% - Accent4 5 2 2" xfId="2364" xr:uid="{ADE80E36-E417-4A37-9877-CB4458EEE3B4}"/>
    <cellStyle name="40% - Accent4 5 2 2 2" xfId="3661" xr:uid="{B2A6D176-57A0-486E-ABE4-D8DB1A52A61F}"/>
    <cellStyle name="40% - Accent4 5 2 2 2 2" xfId="7117" xr:uid="{CD1BB391-4784-4572-BF81-841EA0BA6C6F}"/>
    <cellStyle name="40% - Accent4 5 2 2 3" xfId="5378" xr:uid="{6250D875-3AB6-4751-8596-30FC2F07542F}"/>
    <cellStyle name="40% - Accent4 5 2 3" xfId="2814" xr:uid="{F589FB04-3223-46E3-90BA-A81213D2AB27}"/>
    <cellStyle name="40% - Accent4 5 2 3 2" xfId="6248" xr:uid="{63D2C96E-3419-489C-9C02-8CABD61FD867}"/>
    <cellStyle name="40% - Accent4 5 2 4" xfId="4508" xr:uid="{8068758B-931B-471A-AAF5-6AEBB3FC1392}"/>
    <cellStyle name="40% - Accent4 5 3" xfId="1672" xr:uid="{CF082334-83EE-4399-A2E1-D4A15A970006}"/>
    <cellStyle name="40% - Accent4 5 3 2" xfId="3242" xr:uid="{E03CFAB0-8CFD-4368-A8FB-23621E4A34D2}"/>
    <cellStyle name="40% - Accent4 5 3 2 2" xfId="6682" xr:uid="{3F779CE1-90FF-4F20-AA4C-F4105F618B12}"/>
    <cellStyle name="40% - Accent4 5 3 3" xfId="4943" xr:uid="{D3E45AF6-744A-4F54-9ACA-445E6590A781}"/>
    <cellStyle name="40% - Accent4 5 4" xfId="805" xr:uid="{DCB1479F-9AEF-4E36-9928-3E7BF3B0E6B9}"/>
    <cellStyle name="40% - Accent4 5 4 2" xfId="5813" xr:uid="{4166B4EF-7BF2-494C-839D-E8581111EF64}"/>
    <cellStyle name="40% - Accent4 5 5" xfId="4085" xr:uid="{628FED98-1B41-4527-9BAE-447920725F94}"/>
    <cellStyle name="40% - Accent4 6" xfId="1005" xr:uid="{C638D1C7-2E4B-4EA5-B710-2CAA2BB409A6}"/>
    <cellStyle name="40% - Accent4 6 2" xfId="2181" xr:uid="{3EC12DEB-67C8-4FCC-904A-764BBCC48B09}"/>
    <cellStyle name="40% - Accent4 6 2 2" xfId="3454" xr:uid="{A4679238-1B97-4207-BC14-6EDDD9028360}"/>
    <cellStyle name="40% - Accent4 6 2 2 2" xfId="6903" xr:uid="{AADA68A8-949E-4FC0-ADB7-70673F9C43AA}"/>
    <cellStyle name="40% - Accent4 6 2 3" xfId="5164" xr:uid="{3490DCAA-6407-446A-B8F1-0F44ACBEDE64}"/>
    <cellStyle name="40% - Accent4 6 3" xfId="2611" xr:uid="{C9CD733C-F8F8-4D5A-A6B9-F49820002D10}"/>
    <cellStyle name="40% - Accent4 6 3 2" xfId="6034" xr:uid="{8074D15E-689E-4A2E-8C23-41B1AC83D190}"/>
    <cellStyle name="40% - Accent4 6 4" xfId="4296" xr:uid="{AEF41510-98B5-42A4-AA89-AC2920C2D4E8}"/>
    <cellStyle name="40% - Accent4 7" xfId="1454" xr:uid="{6628E631-3642-4482-9097-4BF166CEF46B}"/>
    <cellStyle name="40% - Accent4 7 2" xfId="3034" xr:uid="{B67CCBD3-2A65-467C-BF8E-3853FA1D916B}"/>
    <cellStyle name="40% - Accent4 7 2 2" xfId="6469" xr:uid="{82E9E106-1603-4BB0-8F55-2FF2CCFE7E22}"/>
    <cellStyle name="40% - Accent4 7 3" xfId="4729" xr:uid="{29587580-5A42-41A6-92A6-E3A13D386F59}"/>
    <cellStyle name="40% - Accent4 8" xfId="591" xr:uid="{C99D7ED3-D90D-4FB1-A10C-C464C0EB4DA5}"/>
    <cellStyle name="40% - Accent4 8 2" xfId="5599" xr:uid="{36BE57AF-F7DC-4E9D-895B-14DEB13AD923}"/>
    <cellStyle name="40% - Accent4 9" xfId="3886" xr:uid="{FEE73B8C-383A-4382-9BCD-E3DEC1E397DA}"/>
    <cellStyle name="40% - Accent5" xfId="92" builtinId="47" customBuiltin="1"/>
    <cellStyle name="40% - Accent5 2" xfId="158" xr:uid="{F7DFBFFD-6886-4071-BC6B-A8A55BA6ADC8}"/>
    <cellStyle name="40% - Accent5 2 2" xfId="192" xr:uid="{137B4E1D-D5C4-460E-9FFA-2FA120085EA5}"/>
    <cellStyle name="40% - Accent5 2 2 2" xfId="289" xr:uid="{8688D608-B0A1-4095-B5C4-15430C59F7B1}"/>
    <cellStyle name="40% - Accent5 2 2 2 2" xfId="498" xr:uid="{98814B9F-CA6F-4586-A2F5-B5020326A421}"/>
    <cellStyle name="40% - Accent5 2 2 2 2 2" xfId="1358" xr:uid="{24741AB3-6FA8-486C-A855-40AE7F4A1A7F}"/>
    <cellStyle name="40% - Accent5 2 2 2 2 2 2" xfId="2496" xr:uid="{5600B53A-74E0-4FF8-BC68-6539E7777758}"/>
    <cellStyle name="40% - Accent5 2 2 2 2 2 2 2" xfId="3800" xr:uid="{79377BE6-0335-45C9-8756-D5E4A40C81CE}"/>
    <cellStyle name="40% - Accent5 2 2 2 2 2 2 2 2" xfId="7257" xr:uid="{1560D426-9907-45FF-AF5B-3543C22F0597}"/>
    <cellStyle name="40% - Accent5 2 2 2 2 2 2 3" xfId="5518" xr:uid="{A3AF9642-BC2D-4836-8CF6-2B02531BD183}"/>
    <cellStyle name="40% - Accent5 2 2 2 2 2 3" xfId="2953" xr:uid="{E4CF5C45-377E-4BA6-B06C-985382623CF3}"/>
    <cellStyle name="40% - Accent5 2 2 2 2 2 3 2" xfId="6388" xr:uid="{05ACE292-149B-47AC-863B-0CF029709688}"/>
    <cellStyle name="40% - Accent5 2 2 2 2 2 4" xfId="4648" xr:uid="{F092FBE0-DC98-4FFC-B2B2-2A1C87E17E62}"/>
    <cellStyle name="40% - Accent5 2 2 2 2 3" xfId="1815" xr:uid="{33992408-A354-4683-9781-F9CBFCB4E1CB}"/>
    <cellStyle name="40% - Accent5 2 2 2 2 3 2" xfId="3375" xr:uid="{635B831A-65D2-49D5-A374-8F11EAB64D5E}"/>
    <cellStyle name="40% - Accent5 2 2 2 2 3 2 2" xfId="6822" xr:uid="{E7A6A569-EBE9-49A0-8F04-8DD890B76658}"/>
    <cellStyle name="40% - Accent5 2 2 2 2 3 3" xfId="5083" xr:uid="{200C7F1B-5085-4E70-90EB-42176F1D3546}"/>
    <cellStyle name="40% - Accent5 2 2 2 2 4" xfId="945" xr:uid="{B3545573-F746-410F-853C-F6668464705D}"/>
    <cellStyle name="40% - Accent5 2 2 2 2 4 2" xfId="5953" xr:uid="{07566831-EDD0-4FCB-AC05-68C9CB1031B8}"/>
    <cellStyle name="40% - Accent5 2 2 2 2 5" xfId="4217" xr:uid="{479758C1-AE8D-4A5A-907E-DF60B3C87027}"/>
    <cellStyle name="40% - Accent5 2 2 2 3" xfId="1151" xr:uid="{6B9BB530-E634-4335-9327-E19EA0A66D3F}"/>
    <cellStyle name="40% - Accent5 2 2 2 3 2" xfId="2308" xr:uid="{3FE3CE37-2497-4D72-B15A-BD7A912DD7B6}"/>
    <cellStyle name="40% - Accent5 2 2 2 3 2 2" xfId="3595" xr:uid="{2BCEC005-E374-45E9-A1DF-ADC235E1289B}"/>
    <cellStyle name="40% - Accent5 2 2 2 3 2 2 2" xfId="7050" xr:uid="{571E40E2-5563-402C-A9D8-4FDA9B13E321}"/>
    <cellStyle name="40% - Accent5 2 2 2 3 2 3" xfId="5311" xr:uid="{E619A63E-6EDA-4A0B-A128-760F3816BB23}"/>
    <cellStyle name="40% - Accent5 2 2 2 3 3" xfId="2748" xr:uid="{9185F184-8443-4B61-BBF9-2A79261A745D}"/>
    <cellStyle name="40% - Accent5 2 2 2 3 3 2" xfId="6181" xr:uid="{FF60F74C-DCB9-4549-BF43-B72983E189DD}"/>
    <cellStyle name="40% - Accent5 2 2 2 3 4" xfId="4441" xr:uid="{2435B4ED-07F1-4DC4-A4CD-21B3F6F44FE3}"/>
    <cellStyle name="40% - Accent5 2 2 2 4" xfId="1625" xr:uid="{A65B8EB1-91CC-4A33-9A7B-FE11B8D36CC5}"/>
    <cellStyle name="40% - Accent5 2 2 2 4 2" xfId="3177" xr:uid="{2748068C-7870-445A-B810-AD7BEB754B3F}"/>
    <cellStyle name="40% - Accent5 2 2 2 4 2 2" xfId="6615" xr:uid="{54E0FBA9-46A1-417A-9158-F3131F0016F8}"/>
    <cellStyle name="40% - Accent5 2 2 2 4 3" xfId="4876" xr:uid="{BB8625C3-E736-4F19-996B-751964E7B535}"/>
    <cellStyle name="40% - Accent5 2 2 2 5" xfId="738" xr:uid="{718ED935-827A-4E1F-8257-F07180679E5A}"/>
    <cellStyle name="40% - Accent5 2 2 2 5 2" xfId="5746" xr:uid="{2FF47380-2791-4B90-BF6F-2137E6F3E577}"/>
    <cellStyle name="40% - Accent5 2 2 2 6" xfId="4021" xr:uid="{AB4B31B5-B394-493F-BD3C-5B9E583ABE34}"/>
    <cellStyle name="40% - Accent5 2 2 3" xfId="405" xr:uid="{5A7CA3CA-0FA4-48C5-9BE8-DF1DEA5E4C97}"/>
    <cellStyle name="40% - Accent5 2 2 3 2" xfId="1265" xr:uid="{9A68F65F-ABE9-43C5-AFCC-579634FBE47D}"/>
    <cellStyle name="40% - Accent5 2 2 3 2 2" xfId="2408" xr:uid="{E10C3FF1-406C-40E9-B8E0-C962489A34E2}"/>
    <cellStyle name="40% - Accent5 2 2 3 2 2 2" xfId="3707" xr:uid="{31BD2EFD-3E21-4B1C-9691-FD5BC1D00EC7}"/>
    <cellStyle name="40% - Accent5 2 2 3 2 2 2 2" xfId="7164" xr:uid="{A1CFFBBE-7609-4EDC-910D-BFC8B88CE128}"/>
    <cellStyle name="40% - Accent5 2 2 3 2 2 3" xfId="5425" xr:uid="{1B9232D0-19D6-4F8C-823B-6D29EFA7EB21}"/>
    <cellStyle name="40% - Accent5 2 2 3 2 3" xfId="2860" xr:uid="{F6392610-41E8-4318-81E2-70FFF1B892B4}"/>
    <cellStyle name="40% - Accent5 2 2 3 2 3 2" xfId="6295" xr:uid="{C795F5DC-4F02-45B9-B84F-BAE15934EDFB}"/>
    <cellStyle name="40% - Accent5 2 2 3 2 4" xfId="4555" xr:uid="{8314F299-0B69-40A0-BF82-CE9B91FC0AAC}"/>
    <cellStyle name="40% - Accent5 2 2 3 3" xfId="1722" xr:uid="{4783EFD0-BEDC-459A-8C69-CFF49882A868}"/>
    <cellStyle name="40% - Accent5 2 2 3 3 2" xfId="3287" xr:uid="{641E5734-D6A5-4D0B-ABE6-E188BFE2F974}"/>
    <cellStyle name="40% - Accent5 2 2 3 3 2 2" xfId="6729" xr:uid="{8EABF5B1-88A2-43E2-8622-DE3A54AC4409}"/>
    <cellStyle name="40% - Accent5 2 2 3 3 3" xfId="4990" xr:uid="{C8740A2C-3C83-49EA-8288-7EB095859FBA}"/>
    <cellStyle name="40% - Accent5 2 2 3 4" xfId="852" xr:uid="{326EA171-9492-4D92-B578-334697EFBD21}"/>
    <cellStyle name="40% - Accent5 2 2 3 4 2" xfId="5860" xr:uid="{FF45C3EE-98B9-4DD6-A00F-01217EDAA178}"/>
    <cellStyle name="40% - Accent5 2 2 3 5" xfId="4129" xr:uid="{AB8C851C-269C-44D7-A5DF-44878E2FDAA0}"/>
    <cellStyle name="40% - Accent5 2 2 4" xfId="1052" xr:uid="{4E5E4A72-B9A0-4F5F-9F8F-267DCCB76914}"/>
    <cellStyle name="40% - Accent5 2 2 4 2" xfId="2225" xr:uid="{AA0370B4-1B34-4F2C-969A-0B18C56DF462}"/>
    <cellStyle name="40% - Accent5 2 2 4 2 2" xfId="3498" xr:uid="{934A10E8-0F68-49B2-B82F-0EDA567296ED}"/>
    <cellStyle name="40% - Accent5 2 2 4 2 2 2" xfId="6950" xr:uid="{69155906-83CC-413B-9EF1-B5AEF6681C48}"/>
    <cellStyle name="40% - Accent5 2 2 4 2 3" xfId="5211" xr:uid="{C40D1F27-3884-4046-9E06-6BB01FB5A1F0}"/>
    <cellStyle name="40% - Accent5 2 2 4 3" xfId="2655" xr:uid="{C69ADB3B-1F0C-4643-B4A9-5637792EFD5E}"/>
    <cellStyle name="40% - Accent5 2 2 4 3 2" xfId="6081" xr:uid="{C393EC0B-1B69-4253-94E1-804393DBE290}"/>
    <cellStyle name="40% - Accent5 2 2 4 4" xfId="4342" xr:uid="{A8BA94AE-BFF7-4F16-91DF-C664E10CACF9}"/>
    <cellStyle name="40% - Accent5 2 2 5" xfId="1507" xr:uid="{B58C240D-5228-4361-9A6C-7AB9C9B3AA11}"/>
    <cellStyle name="40% - Accent5 2 2 5 2" xfId="3081" xr:uid="{53C56148-96D5-4074-87D8-49780938A5F4}"/>
    <cellStyle name="40% - Accent5 2 2 5 2 2" xfId="6516" xr:uid="{D7E58FD5-1A10-44F4-9CEB-59572A5A2A45}"/>
    <cellStyle name="40% - Accent5 2 2 5 3" xfId="4776" xr:uid="{EBFD317D-83FE-46C6-A1F3-E5D63BEE0C9D}"/>
    <cellStyle name="40% - Accent5 2 2 6" xfId="638" xr:uid="{58A404F4-FABE-4549-86BB-6143DA71466B}"/>
    <cellStyle name="40% - Accent5 2 2 6 2" xfId="5646" xr:uid="{AC72B018-714A-4ADE-BBFC-61ED872C573C}"/>
    <cellStyle name="40% - Accent5 2 2 7" xfId="3930" xr:uid="{0BED6BB2-9635-4545-B44B-571BD50D47C4}"/>
    <cellStyle name="40% - Accent5 2 3" xfId="259" xr:uid="{C9F07CAF-FF96-42D8-BBEB-437BD211010F}"/>
    <cellStyle name="40% - Accent5 2 3 2" xfId="468" xr:uid="{E0345493-19D4-41B5-ADF6-AAA8C9178500}"/>
    <cellStyle name="40% - Accent5 2 3 2 2" xfId="1328" xr:uid="{9B48BAF2-51D3-48FB-90D0-51FB4BB31A31}"/>
    <cellStyle name="40% - Accent5 2 3 2 2 2" xfId="2468" xr:uid="{F15F8B3B-AB2C-47E8-BF60-9724C2ABF124}"/>
    <cellStyle name="40% - Accent5 2 3 2 2 2 2" xfId="3770" xr:uid="{78FA19D6-926D-481A-B0DE-C9DC0F1B6F73}"/>
    <cellStyle name="40% - Accent5 2 3 2 2 2 2 2" xfId="7227" xr:uid="{36BD98C8-D7DE-4727-892F-8423EBDF8127}"/>
    <cellStyle name="40% - Accent5 2 3 2 2 2 3" xfId="5488" xr:uid="{F44B9FE5-4391-4BDC-83B5-15DC3F360390}"/>
    <cellStyle name="40% - Accent5 2 3 2 2 3" xfId="2923" xr:uid="{E3FFE2A1-6897-4974-8D3F-FB96DCEA89E6}"/>
    <cellStyle name="40% - Accent5 2 3 2 2 3 2" xfId="6358" xr:uid="{FFCEB33A-5E27-4CA5-A50E-3D7081F6DC8F}"/>
    <cellStyle name="40% - Accent5 2 3 2 2 4" xfId="4618" xr:uid="{F4281C00-B338-4EA5-8715-A98E61A607B2}"/>
    <cellStyle name="40% - Accent5 2 3 2 3" xfId="1785" xr:uid="{73A2C682-0F6F-4F4C-B769-53D09ED501D7}"/>
    <cellStyle name="40% - Accent5 2 3 2 3 2" xfId="3347" xr:uid="{2A287B5C-03A5-4BD0-A803-24F01E8C125E}"/>
    <cellStyle name="40% - Accent5 2 3 2 3 2 2" xfId="6792" xr:uid="{709CDC61-013A-4A1D-B2FE-095CE43FD623}"/>
    <cellStyle name="40% - Accent5 2 3 2 3 3" xfId="5053" xr:uid="{E84D77F2-5074-4536-96AC-9328DF8F4DDF}"/>
    <cellStyle name="40% - Accent5 2 3 2 4" xfId="915" xr:uid="{F8629769-4B6D-4C75-98E0-72484EB96AC0}"/>
    <cellStyle name="40% - Accent5 2 3 2 4 2" xfId="5923" xr:uid="{B29D9D8B-F7ED-4904-8E52-B55A5162A217}"/>
    <cellStyle name="40% - Accent5 2 3 2 5" xfId="4189" xr:uid="{EB0EC0B0-3F3B-47D5-8385-013EE8EF64E4}"/>
    <cellStyle name="40% - Accent5 2 3 3" xfId="1121" xr:uid="{C5B18908-5E05-4545-891C-C5BC9B4EBB2C}"/>
    <cellStyle name="40% - Accent5 2 3 3 2" xfId="2280" xr:uid="{86DD268D-C33B-440E-AFB4-05209ED580D5}"/>
    <cellStyle name="40% - Accent5 2 3 3 2 2" xfId="3565" xr:uid="{7F7196CC-3960-43B8-ACE8-8DCB42AC7007}"/>
    <cellStyle name="40% - Accent5 2 3 3 2 2 2" xfId="7020" xr:uid="{3F95ECDE-16AB-4073-B0F3-207817C1788B}"/>
    <cellStyle name="40% - Accent5 2 3 3 2 3" xfId="5281" xr:uid="{13C360D5-44BB-42C3-AEF9-1C96C932B837}"/>
    <cellStyle name="40% - Accent5 2 3 3 3" xfId="2718" xr:uid="{9CEEE737-55BC-4970-A3A2-7328CAD2BCE5}"/>
    <cellStyle name="40% - Accent5 2 3 3 3 2" xfId="6151" xr:uid="{105D8617-0D9F-4A4D-81D5-A9EA6F0A6F65}"/>
    <cellStyle name="40% - Accent5 2 3 3 4" xfId="4411" xr:uid="{A4F50556-DAE6-4FE7-99B3-45761BBAF84A}"/>
    <cellStyle name="40% - Accent5 2 3 4" xfId="1595" xr:uid="{70993B1B-6D4B-4E74-B6A1-14E5FA1453E2}"/>
    <cellStyle name="40% - Accent5 2 3 4 2" xfId="3149" xr:uid="{0C6E06C9-58A4-4ACA-88F5-9AE5DEB27030}"/>
    <cellStyle name="40% - Accent5 2 3 4 2 2" xfId="6585" xr:uid="{A9FE4F92-1199-4C16-8AFC-211E1A3DE1B6}"/>
    <cellStyle name="40% - Accent5 2 3 4 3" xfId="4846" xr:uid="{AAD5B3FC-A65D-4060-9F9E-A99F04B72629}"/>
    <cellStyle name="40% - Accent5 2 3 5" xfId="708" xr:uid="{82FD9115-2E42-42CF-ABF0-379DA0C9BC92}"/>
    <cellStyle name="40% - Accent5 2 3 5 2" xfId="5716" xr:uid="{0CDE2530-0A22-495A-9CA4-162231073477}"/>
    <cellStyle name="40% - Accent5 2 3 6" xfId="3993" xr:uid="{B6F3CE30-D6B1-484D-B150-AE2859A0B440}"/>
    <cellStyle name="40% - Accent5 2 4" xfId="373" xr:uid="{D245288B-1909-4DFF-9CD1-983DAC1E4AF0}"/>
    <cellStyle name="40% - Accent5 2 4 2" xfId="1235" xr:uid="{B2561C2C-DE7D-4435-8D83-06009F66E27B}"/>
    <cellStyle name="40% - Accent5 2 4 2 2" xfId="2380" xr:uid="{D5ACF74B-1798-4E91-AFF4-2E84B5DA21B1}"/>
    <cellStyle name="40% - Accent5 2 4 2 2 2" xfId="3677" xr:uid="{3322BE16-8F60-4C72-841D-21EF1D2F03AD}"/>
    <cellStyle name="40% - Accent5 2 4 2 2 2 2" xfId="7134" xr:uid="{4B05D3C1-FA03-433A-A3E8-BBA40E81AF2A}"/>
    <cellStyle name="40% - Accent5 2 4 2 2 3" xfId="5395" xr:uid="{F972B7D6-5BD4-4406-B88C-0068FE315AF4}"/>
    <cellStyle name="40% - Accent5 2 4 2 3" xfId="2830" xr:uid="{64C9B609-896A-4395-A417-E554074F7B5B}"/>
    <cellStyle name="40% - Accent5 2 4 2 3 2" xfId="6265" xr:uid="{89022740-9710-4F93-BF4B-EA74046FC4D9}"/>
    <cellStyle name="40% - Accent5 2 4 2 4" xfId="4525" xr:uid="{A73E225F-CA5A-4A55-BB48-F057DD18A519}"/>
    <cellStyle name="40% - Accent5 2 4 3" xfId="1691" xr:uid="{F209A229-FAD3-4912-B48A-1E848BE62A77}"/>
    <cellStyle name="40% - Accent5 2 4 3 2" xfId="3259" xr:uid="{931FF7BE-F40B-4145-9BA2-E28318E9F7DE}"/>
    <cellStyle name="40% - Accent5 2 4 3 2 2" xfId="6699" xr:uid="{F3EC11E3-D736-460E-AD30-CB575B8B70BE}"/>
    <cellStyle name="40% - Accent5 2 4 3 3" xfId="4960" xr:uid="{D89AA62B-7814-4542-A83F-86A521210A98}"/>
    <cellStyle name="40% - Accent5 2 4 4" xfId="822" xr:uid="{A375FA83-3691-4AE6-A4D9-50266F732AB9}"/>
    <cellStyle name="40% - Accent5 2 4 4 2" xfId="5830" xr:uid="{BC522715-6EDE-4E0D-95E3-695E7BE6A133}"/>
    <cellStyle name="40% - Accent5 2 4 5" xfId="4101" xr:uid="{3200D2AA-4A1B-4CB2-8989-4B5FB19A29EC}"/>
    <cellStyle name="40% - Accent5 2 5" xfId="1022" xr:uid="{2E8339EC-EFDC-4359-8E2A-A5C3710E150B}"/>
    <cellStyle name="40% - Accent5 2 5 2" xfId="2197" xr:uid="{2F53F608-2B3A-4583-B15E-BCBCBAAE622A}"/>
    <cellStyle name="40% - Accent5 2 5 2 2" xfId="3470" xr:uid="{1627C641-4EDC-47F9-A9D3-1D8A63104963}"/>
    <cellStyle name="40% - Accent5 2 5 2 2 2" xfId="6920" xr:uid="{BF9E60E8-6645-419D-B7A2-A732FCD36833}"/>
    <cellStyle name="40% - Accent5 2 5 2 3" xfId="5181" xr:uid="{610A6FA4-FA86-4440-AD49-3952A0EE79DC}"/>
    <cellStyle name="40% - Accent5 2 5 3" xfId="2627" xr:uid="{A2173C44-B74F-4E48-8DB9-807EB1DA1E63}"/>
    <cellStyle name="40% - Accent5 2 5 3 2" xfId="6051" xr:uid="{7C8F1C0B-1465-42A0-BDB7-EBC01F508887}"/>
    <cellStyle name="40% - Accent5 2 5 4" xfId="4312" xr:uid="{9839352A-6298-4159-A5A0-E23FB85C0C74}"/>
    <cellStyle name="40% - Accent5 2 6" xfId="1476" xr:uid="{F64ED75C-2C20-4E57-9DE6-AD8226502575}"/>
    <cellStyle name="40% - Accent5 2 6 2" xfId="3051" xr:uid="{E126CBE3-93D2-41EB-A62F-F25622A37DF8}"/>
    <cellStyle name="40% - Accent5 2 6 2 2" xfId="6486" xr:uid="{8D234201-6F15-464E-91AC-03A3A23AB752}"/>
    <cellStyle name="40% - Accent5 2 6 3" xfId="4746" xr:uid="{4EED34D4-AE6C-4CF6-B858-7A4566683D2B}"/>
    <cellStyle name="40% - Accent5 2 7" xfId="608" xr:uid="{97301D65-8550-433A-AC01-014045DABD65}"/>
    <cellStyle name="40% - Accent5 2 7 2" xfId="5616" xr:uid="{BE79994F-EDCF-4955-9C50-D21E6E1E0CD3}"/>
    <cellStyle name="40% - Accent5 2 8" xfId="3902" xr:uid="{AFD9AF64-3C7B-4DAF-83A3-741D01F25FDD}"/>
    <cellStyle name="40% - Accent5 3" xfId="177" xr:uid="{1AE128C9-61D8-44C4-9AE8-192BECCF78FC}"/>
    <cellStyle name="40% - Accent5 3 2" xfId="274" xr:uid="{E5997124-272D-407D-886D-3638FF5D5DD6}"/>
    <cellStyle name="40% - Accent5 3 2 2" xfId="483" xr:uid="{0E83973B-E29F-4EE2-AC08-40C5465ABB8A}"/>
    <cellStyle name="40% - Accent5 3 2 2 2" xfId="1343" xr:uid="{646466BB-AB3E-42F3-88F3-051FCC39072D}"/>
    <cellStyle name="40% - Accent5 3 2 2 2 2" xfId="2482" xr:uid="{6735D3A6-036C-45E4-9E54-BF008E62E884}"/>
    <cellStyle name="40% - Accent5 3 2 2 2 2 2" xfId="3785" xr:uid="{9F88394E-579C-4CF5-B37E-88C88B33608E}"/>
    <cellStyle name="40% - Accent5 3 2 2 2 2 2 2" xfId="7242" xr:uid="{8CF73311-46B8-4196-8A0A-098DB387D6A9}"/>
    <cellStyle name="40% - Accent5 3 2 2 2 2 3" xfId="5503" xr:uid="{57B1F40A-2EEF-43DC-9600-06B8C31357AF}"/>
    <cellStyle name="40% - Accent5 3 2 2 2 3" xfId="2938" xr:uid="{A7362FED-788E-4AA2-87EA-E89199F6F7A5}"/>
    <cellStyle name="40% - Accent5 3 2 2 2 3 2" xfId="6373" xr:uid="{BE764A33-0D15-4AD7-BBE8-A216584165F5}"/>
    <cellStyle name="40% - Accent5 3 2 2 2 4" xfId="4633" xr:uid="{1D0268D5-4781-41C7-93BC-989C94CE696A}"/>
    <cellStyle name="40% - Accent5 3 2 2 3" xfId="1800" xr:uid="{C9AF5093-D5E1-496B-8382-0C9E7350BE4D}"/>
    <cellStyle name="40% - Accent5 3 2 2 3 2" xfId="3361" xr:uid="{94761151-8C83-48C9-AE0E-507AA337FE89}"/>
    <cellStyle name="40% - Accent5 3 2 2 3 2 2" xfId="6807" xr:uid="{CD5AF0C3-18E8-401C-91CF-B1A953ABE4B3}"/>
    <cellStyle name="40% - Accent5 3 2 2 3 3" xfId="5068" xr:uid="{952E4E57-7AB0-4896-872C-E686608C2400}"/>
    <cellStyle name="40% - Accent5 3 2 2 4" xfId="930" xr:uid="{8EEB103F-4511-4B0F-86D3-5696F07EA00A}"/>
    <cellStyle name="40% - Accent5 3 2 2 4 2" xfId="5938" xr:uid="{93985D66-A28F-4DDD-A3F4-B4AEBA827E3A}"/>
    <cellStyle name="40% - Accent5 3 2 2 5" xfId="4203" xr:uid="{0FB0F608-8DF9-4515-9A9A-898A7D45D279}"/>
    <cellStyle name="40% - Accent5 3 2 3" xfId="1136" xr:uid="{8ED27F6C-7D91-4022-8F4F-5AE98962BFD0}"/>
    <cellStyle name="40% - Accent5 3 2 3 2" xfId="2294" xr:uid="{6704D8DC-DB23-4056-9E61-7B26B057422E}"/>
    <cellStyle name="40% - Accent5 3 2 3 2 2" xfId="3580" xr:uid="{A081FEEC-AD53-497A-AD25-E6570630A46B}"/>
    <cellStyle name="40% - Accent5 3 2 3 2 2 2" xfId="7035" xr:uid="{86B2BC3D-EAE1-455A-BE4B-2B0B68456876}"/>
    <cellStyle name="40% - Accent5 3 2 3 2 3" xfId="5296" xr:uid="{BC419FF9-2362-489C-B79C-528D5DF7D162}"/>
    <cellStyle name="40% - Accent5 3 2 3 3" xfId="2733" xr:uid="{48A66F39-51C3-40A3-A82C-56A6D106787E}"/>
    <cellStyle name="40% - Accent5 3 2 3 3 2" xfId="6166" xr:uid="{09F8C8F8-100D-4CCF-9D95-3F954F7E09FA}"/>
    <cellStyle name="40% - Accent5 3 2 3 4" xfId="4426" xr:uid="{4970BA10-ED33-4A85-99E2-D7A2B5B5E09C}"/>
    <cellStyle name="40% - Accent5 3 2 4" xfId="1610" xr:uid="{D13F7335-5817-4737-A229-274CD0D55249}"/>
    <cellStyle name="40% - Accent5 3 2 4 2" xfId="3163" xr:uid="{BEF591FE-1722-43F4-AB54-232D5600636D}"/>
    <cellStyle name="40% - Accent5 3 2 4 2 2" xfId="6600" xr:uid="{70D5424F-D70C-49C1-A6BE-F9C3F2DA2F8B}"/>
    <cellStyle name="40% - Accent5 3 2 4 3" xfId="4861" xr:uid="{5EFEC49E-92ED-4B4B-A42A-AC7E6C243AF2}"/>
    <cellStyle name="40% - Accent5 3 2 5" xfId="723" xr:uid="{56836A46-3040-4143-B2A3-F08E6E0824E6}"/>
    <cellStyle name="40% - Accent5 3 2 5 2" xfId="5731" xr:uid="{837AE8CD-315F-4AE3-9AEA-2F251E810382}"/>
    <cellStyle name="40% - Accent5 3 2 6" xfId="4007" xr:uid="{F8BBBD12-8739-487D-8873-2F4902F9BC56}"/>
    <cellStyle name="40% - Accent5 3 3" xfId="390" xr:uid="{FE3AF250-ECD0-40BE-B91E-0315CD48A161}"/>
    <cellStyle name="40% - Accent5 3 3 2" xfId="1250" xr:uid="{9E9D4ED7-4B82-44FD-9521-10A6F0ED2955}"/>
    <cellStyle name="40% - Accent5 3 3 2 2" xfId="2394" xr:uid="{1F7BE9AC-7A9F-45E6-BDE0-EBD82715A1B0}"/>
    <cellStyle name="40% - Accent5 3 3 2 2 2" xfId="3692" xr:uid="{75ED6833-EABB-4353-A1D2-465565939FE4}"/>
    <cellStyle name="40% - Accent5 3 3 2 2 2 2" xfId="7149" xr:uid="{A24CDE8C-1405-4CF2-9F23-B1B027823E0D}"/>
    <cellStyle name="40% - Accent5 3 3 2 2 3" xfId="5410" xr:uid="{350D9E79-167B-45C8-B3DF-812F6AF737A1}"/>
    <cellStyle name="40% - Accent5 3 3 2 3" xfId="2845" xr:uid="{BA93ED1F-E506-452A-8735-521BB59BE8FC}"/>
    <cellStyle name="40% - Accent5 3 3 2 3 2" xfId="6280" xr:uid="{4A6A61B4-5EA1-403C-9426-C35BABC6D9B0}"/>
    <cellStyle name="40% - Accent5 3 3 2 4" xfId="4540" xr:uid="{68498154-0F11-4F03-9380-3D9CCF7F3E39}"/>
    <cellStyle name="40% - Accent5 3 3 3" xfId="1707" xr:uid="{1F749767-E317-4997-9AA7-90B95EAC26E3}"/>
    <cellStyle name="40% - Accent5 3 3 3 2" xfId="3273" xr:uid="{7F8DBA53-2CED-45A6-BECA-A8563AA1C2FD}"/>
    <cellStyle name="40% - Accent5 3 3 3 2 2" xfId="6714" xr:uid="{C255A984-D69B-48DA-BADA-61CD7FDFBFD6}"/>
    <cellStyle name="40% - Accent5 3 3 3 3" xfId="4975" xr:uid="{1A8C2215-B44B-4A1B-8E16-18003652C892}"/>
    <cellStyle name="40% - Accent5 3 3 4" xfId="837" xr:uid="{422E3574-955E-41BA-8333-DBBBA775FC90}"/>
    <cellStyle name="40% - Accent5 3 3 4 2" xfId="5845" xr:uid="{CB9E5B63-135E-48A7-AEB4-89A9EAE7D3F4}"/>
    <cellStyle name="40% - Accent5 3 3 5" xfId="4115" xr:uid="{AA16C96E-29A2-4557-A3C8-1BA12DDFAB34}"/>
    <cellStyle name="40% - Accent5 3 4" xfId="1037" xr:uid="{271B7152-A4B9-4063-9195-9CCD94114641}"/>
    <cellStyle name="40% - Accent5 3 4 2" xfId="2211" xr:uid="{AB5ADEDE-D651-4A09-9B2E-5952A84A214F}"/>
    <cellStyle name="40% - Accent5 3 4 2 2" xfId="3484" xr:uid="{A87EB2F2-B717-4BD9-9ADA-5C3997030BCB}"/>
    <cellStyle name="40% - Accent5 3 4 2 2 2" xfId="6935" xr:uid="{6C568E29-CE4C-45EA-B6FF-ECC52E786BFC}"/>
    <cellStyle name="40% - Accent5 3 4 2 3" xfId="5196" xr:uid="{65013F44-E14B-4C71-BF27-B8D7CB14B3B3}"/>
    <cellStyle name="40% - Accent5 3 4 3" xfId="2641" xr:uid="{222E7109-0B55-4664-9A0F-60CE29688861}"/>
    <cellStyle name="40% - Accent5 3 4 3 2" xfId="6066" xr:uid="{686ABA1D-1651-4382-AB30-0F2E8FAEC2D1}"/>
    <cellStyle name="40% - Accent5 3 4 4" xfId="4327" xr:uid="{6AF56003-29E3-46C6-BC70-6DDA17CAB1D3}"/>
    <cellStyle name="40% - Accent5 3 5" xfId="1492" xr:uid="{F8704B8A-89AC-402E-9405-282AEB62C9B1}"/>
    <cellStyle name="40% - Accent5 3 5 2" xfId="3066" xr:uid="{4151AACF-C152-4C77-ACE2-ACF73C19038B}"/>
    <cellStyle name="40% - Accent5 3 5 2 2" xfId="6501" xr:uid="{5935D4DD-141A-4E67-9C61-D69B8BA6C336}"/>
    <cellStyle name="40% - Accent5 3 5 3" xfId="4761" xr:uid="{2BBA7460-6498-470E-9DA3-F713F05D96B5}"/>
    <cellStyle name="40% - Accent5 3 6" xfId="623" xr:uid="{B08BB229-FA05-434A-9CF0-2EF893298EB3}"/>
    <cellStyle name="40% - Accent5 3 6 2" xfId="5631" xr:uid="{62562404-4B1E-4DBC-B047-993FBE3E0C0B}"/>
    <cellStyle name="40% - Accent5 3 7" xfId="3916" xr:uid="{F2460674-5ED7-4025-99DF-AB8C55072E76}"/>
    <cellStyle name="40% - Accent5 4" xfId="244" xr:uid="{F731D064-A684-4EA0-BDAD-1095E197CEA8}"/>
    <cellStyle name="40% - Accent5 4 2" xfId="453" xr:uid="{D48C53F1-1818-411E-9C04-C9EDD2CBB4AC}"/>
    <cellStyle name="40% - Accent5 4 2 2" xfId="1313" xr:uid="{2D1AA03D-1AA8-43BF-8BE0-F5E790BD769E}"/>
    <cellStyle name="40% - Accent5 4 2 2 2" xfId="2454" xr:uid="{589FD12B-8FA6-4E7C-A1C9-A8D1AE6A362F}"/>
    <cellStyle name="40% - Accent5 4 2 2 2 2" xfId="3755" xr:uid="{3DE33336-82C5-484A-A476-B27766D51BDA}"/>
    <cellStyle name="40% - Accent5 4 2 2 2 2 2" xfId="7212" xr:uid="{9643A58A-F063-496E-B39D-3173252022EC}"/>
    <cellStyle name="40% - Accent5 4 2 2 2 3" xfId="5473" xr:uid="{6DCD3609-4806-4943-8E25-775D6E23FFFC}"/>
    <cellStyle name="40% - Accent5 4 2 2 3" xfId="2908" xr:uid="{106D760A-2D65-4546-A691-8F089A0EA979}"/>
    <cellStyle name="40% - Accent5 4 2 2 3 2" xfId="6343" xr:uid="{1AD6A35B-1D5A-4117-B5B2-A9E410A6158A}"/>
    <cellStyle name="40% - Accent5 4 2 2 4" xfId="4603" xr:uid="{93537C74-2110-4495-9E46-4A94A552EC09}"/>
    <cellStyle name="40% - Accent5 4 2 3" xfId="1770" xr:uid="{FAA69E07-900E-4C8C-BE5C-B55F92E58DC6}"/>
    <cellStyle name="40% - Accent5 4 2 3 2" xfId="3333" xr:uid="{EDA1EF61-A62B-4DAC-9214-723CBFEB5E54}"/>
    <cellStyle name="40% - Accent5 4 2 3 2 2" xfId="6777" xr:uid="{A9D1E3BB-CA91-431A-B11F-53F216D2A274}"/>
    <cellStyle name="40% - Accent5 4 2 3 3" xfId="5038" xr:uid="{1C0AF0E1-2AA1-4EB1-803B-D6F9C78E7A32}"/>
    <cellStyle name="40% - Accent5 4 2 4" xfId="900" xr:uid="{1E052F8A-0A4F-4E19-AB3A-9774DF12ABD0}"/>
    <cellStyle name="40% - Accent5 4 2 4 2" xfId="5908" xr:uid="{D190428E-AB05-4B5A-88EC-B31EDA83DDA2}"/>
    <cellStyle name="40% - Accent5 4 2 5" xfId="4175" xr:uid="{99ED8801-F603-4D47-8D98-A730065B1443}"/>
    <cellStyle name="40% - Accent5 4 3" xfId="1106" xr:uid="{B238AC4F-5D90-47CA-AFB3-F7D47497C9BC}"/>
    <cellStyle name="40% - Accent5 4 3 2" xfId="2266" xr:uid="{2977981C-8F4F-40A3-B0E6-FEED63C73C54}"/>
    <cellStyle name="40% - Accent5 4 3 2 2" xfId="3551" xr:uid="{EF7E83AD-A606-4097-B221-8FF548B54D21}"/>
    <cellStyle name="40% - Accent5 4 3 2 2 2" xfId="7005" xr:uid="{58A8F3F0-7361-4D67-A9DC-71861D5190B5}"/>
    <cellStyle name="40% - Accent5 4 3 2 3" xfId="5266" xr:uid="{4EE5B0BA-54DF-461E-9C6D-AF1A83E812C6}"/>
    <cellStyle name="40% - Accent5 4 3 3" xfId="2704" xr:uid="{FF489621-0689-4DAE-A1D7-C1A1ED3660C0}"/>
    <cellStyle name="40% - Accent5 4 3 3 2" xfId="6136" xr:uid="{9DDA1EB8-1AF5-4A3F-990A-3F03867CA715}"/>
    <cellStyle name="40% - Accent5 4 3 4" xfId="4396" xr:uid="{724504A5-ED8A-4A15-8DEF-098CA299A37E}"/>
    <cellStyle name="40% - Accent5 4 4" xfId="1580" xr:uid="{645CDEEB-7296-49B6-96CF-786613C88620}"/>
    <cellStyle name="40% - Accent5 4 4 2" xfId="3134" xr:uid="{D86C2AB8-DABC-4DDD-B7B8-B48182EE9921}"/>
    <cellStyle name="40% - Accent5 4 4 2 2" xfId="6570" xr:uid="{F05CDD83-FAC5-4762-9050-D1E08C91CA53}"/>
    <cellStyle name="40% - Accent5 4 4 3" xfId="4831" xr:uid="{04AC6D58-C40A-42CE-94C6-F41671C44157}"/>
    <cellStyle name="40% - Accent5 4 5" xfId="693" xr:uid="{2678DEDF-1B00-4C5A-8604-307104731883}"/>
    <cellStyle name="40% - Accent5 4 5 2" xfId="5701" xr:uid="{2D551CC4-A8E7-4006-9C61-2C0BC59BA682}"/>
    <cellStyle name="40% - Accent5 4 6" xfId="3979" xr:uid="{8CD374AE-73C1-41BD-9303-037E9693A759}"/>
    <cellStyle name="40% - Accent5 5" xfId="355" xr:uid="{972E56D3-3880-407D-A8B0-58226CFAB782}"/>
    <cellStyle name="40% - Accent5 5 2" xfId="1220" xr:uid="{35A6C4FA-D1DB-436C-AA45-4DE1BF2F97F4}"/>
    <cellStyle name="40% - Accent5 5 2 2" xfId="2366" xr:uid="{FAB07B18-7017-4051-B809-468CB4FD3A1E}"/>
    <cellStyle name="40% - Accent5 5 2 2 2" xfId="3663" xr:uid="{7610D265-F89D-4DF8-A0EE-656FA4044CC6}"/>
    <cellStyle name="40% - Accent5 5 2 2 2 2" xfId="7119" xr:uid="{688B2741-1804-430B-B220-0E03CB35E29D}"/>
    <cellStyle name="40% - Accent5 5 2 2 3" xfId="5380" xr:uid="{467943F8-AD63-47D6-8827-94C1451639E6}"/>
    <cellStyle name="40% - Accent5 5 2 3" xfId="2816" xr:uid="{C606880A-434E-435D-82C7-30AC5B755939}"/>
    <cellStyle name="40% - Accent5 5 2 3 2" xfId="6250" xr:uid="{BDB7423D-1EAB-4986-869C-DE80794D1A05}"/>
    <cellStyle name="40% - Accent5 5 2 4" xfId="4510" xr:uid="{F23CE869-F54F-480C-9D7C-1357058749CA}"/>
    <cellStyle name="40% - Accent5 5 3" xfId="1674" xr:uid="{11D7B0B4-2045-4A73-A23A-C0889117468A}"/>
    <cellStyle name="40% - Accent5 5 3 2" xfId="3244" xr:uid="{9F56EAA8-9180-481B-8D82-DB46A9A4C784}"/>
    <cellStyle name="40% - Accent5 5 3 2 2" xfId="6684" xr:uid="{BF0F7744-4340-49B9-8287-4E45A480FC4A}"/>
    <cellStyle name="40% - Accent5 5 3 3" xfId="4945" xr:uid="{72D24171-453B-4298-9C6D-3F6788987B04}"/>
    <cellStyle name="40% - Accent5 5 4" xfId="807" xr:uid="{10D3FC85-FE59-4504-9199-5D460A4C133B}"/>
    <cellStyle name="40% - Accent5 5 4 2" xfId="5815" xr:uid="{114E46C3-74FC-417D-BAE1-A3540041D741}"/>
    <cellStyle name="40% - Accent5 5 5" xfId="4087" xr:uid="{8155B9A9-7C4D-4D25-92D9-1F0F117E1AE3}"/>
    <cellStyle name="40% - Accent5 6" xfId="1007" xr:uid="{55DA5467-30B0-4B6E-85FF-B871D71A5399}"/>
    <cellStyle name="40% - Accent5 6 2" xfId="2183" xr:uid="{2E32C67B-6DDC-489F-A902-70992F608091}"/>
    <cellStyle name="40% - Accent5 6 2 2" xfId="3456" xr:uid="{2033C6C3-B7CE-45DA-934E-A9F7CBEE6F9C}"/>
    <cellStyle name="40% - Accent5 6 2 2 2" xfId="6905" xr:uid="{FA21F795-98B5-4C6B-A507-F0274493DBAC}"/>
    <cellStyle name="40% - Accent5 6 2 3" xfId="5166" xr:uid="{04CE9744-92CA-495A-924D-CE74047FDE56}"/>
    <cellStyle name="40% - Accent5 6 3" xfId="2613" xr:uid="{8376464A-896E-4148-B540-A3AE5B00D820}"/>
    <cellStyle name="40% - Accent5 6 3 2" xfId="6036" xr:uid="{AF958A0A-550B-47A2-9E22-C00D2005619B}"/>
    <cellStyle name="40% - Accent5 6 4" xfId="4298" xr:uid="{EE76F5AC-074F-48A9-9B2A-98B48817A886}"/>
    <cellStyle name="40% - Accent5 7" xfId="1456" xr:uid="{C71A6E1A-8ACA-421E-8AC1-E366C1712F5F}"/>
    <cellStyle name="40% - Accent5 7 2" xfId="3036" xr:uid="{57CF7C60-C9E2-4B5E-827B-EB4CA90D7CDE}"/>
    <cellStyle name="40% - Accent5 7 2 2" xfId="6471" xr:uid="{D66AFA1F-67EF-4BEA-A55A-DA5D77EFE62E}"/>
    <cellStyle name="40% - Accent5 7 3" xfId="4731" xr:uid="{4E8B101A-A25F-4345-96BD-4ED02747A8CB}"/>
    <cellStyle name="40% - Accent5 8" xfId="593" xr:uid="{E447203F-1FA0-4D9A-A0F3-E2431DBFE064}"/>
    <cellStyle name="40% - Accent5 8 2" xfId="5601" xr:uid="{FCDE34AA-C200-4704-97E9-20FB8AA5CF72}"/>
    <cellStyle name="40% - Accent5 9" xfId="3888" xr:uid="{B32749A3-A7BB-484B-94E4-C016F9018CED}"/>
    <cellStyle name="40% - Accent6" xfId="95" builtinId="51" customBuiltin="1"/>
    <cellStyle name="40% - Accent6 2" xfId="160" xr:uid="{32768396-0ACE-4376-80AF-2943CB572721}"/>
    <cellStyle name="40% - Accent6 2 2" xfId="194" xr:uid="{145F9B72-49B2-48E0-AD03-59DA03E01826}"/>
    <cellStyle name="40% - Accent6 2 2 2" xfId="291" xr:uid="{50F74CBF-9CF8-4513-96DC-2C958D161172}"/>
    <cellStyle name="40% - Accent6 2 2 2 2" xfId="500" xr:uid="{EB579317-F84A-41B6-99BA-BAA18F393F60}"/>
    <cellStyle name="40% - Accent6 2 2 2 2 2" xfId="1360" xr:uid="{62EA27A3-47B8-4004-AABE-258B981BE5B5}"/>
    <cellStyle name="40% - Accent6 2 2 2 2 2 2" xfId="2498" xr:uid="{1339333D-4D3E-4F23-83B1-464E3568672F}"/>
    <cellStyle name="40% - Accent6 2 2 2 2 2 2 2" xfId="3802" xr:uid="{EA30FE5D-7F44-4C30-9FB7-E16C32CB1388}"/>
    <cellStyle name="40% - Accent6 2 2 2 2 2 2 2 2" xfId="7259" xr:uid="{4824CA2D-81B3-4761-AEA3-A2E1C6B7083C}"/>
    <cellStyle name="40% - Accent6 2 2 2 2 2 2 3" xfId="5520" xr:uid="{3653295C-CBE5-4C0B-8D6F-D3753AFCABA4}"/>
    <cellStyle name="40% - Accent6 2 2 2 2 2 3" xfId="2955" xr:uid="{E4F7304F-4274-426F-BCC1-E21CC3033382}"/>
    <cellStyle name="40% - Accent6 2 2 2 2 2 3 2" xfId="6390" xr:uid="{4B2FCFB4-7B52-47FB-9B06-B01AE33BFE75}"/>
    <cellStyle name="40% - Accent6 2 2 2 2 2 4" xfId="4650" xr:uid="{8E25C3C7-9166-4132-B5AF-73FC3E50A93A}"/>
    <cellStyle name="40% - Accent6 2 2 2 2 3" xfId="1817" xr:uid="{B5D233AB-5A0B-4DBA-BB0D-3A43E34AD550}"/>
    <cellStyle name="40% - Accent6 2 2 2 2 3 2" xfId="3377" xr:uid="{24C10CF8-E829-4A5B-83A0-6B8E11919BCD}"/>
    <cellStyle name="40% - Accent6 2 2 2 2 3 2 2" xfId="6824" xr:uid="{9D3EF212-B723-4844-9F17-2F6E593030BB}"/>
    <cellStyle name="40% - Accent6 2 2 2 2 3 3" xfId="5085" xr:uid="{A32101C4-75D6-40BA-BB32-1FF0348D3C53}"/>
    <cellStyle name="40% - Accent6 2 2 2 2 4" xfId="947" xr:uid="{547371F0-F778-4E2E-9899-4EF41E8CAEF6}"/>
    <cellStyle name="40% - Accent6 2 2 2 2 4 2" xfId="5955" xr:uid="{FF29B680-3B74-498A-9058-3979315C5506}"/>
    <cellStyle name="40% - Accent6 2 2 2 2 5" xfId="4219" xr:uid="{233A7177-3965-4E7B-8100-111873349914}"/>
    <cellStyle name="40% - Accent6 2 2 2 3" xfId="1153" xr:uid="{4DB6B065-90F6-4DF6-8CAE-082CEEBF511B}"/>
    <cellStyle name="40% - Accent6 2 2 2 3 2" xfId="2310" xr:uid="{DC56A746-0098-4BA7-B215-D2AB16D572B5}"/>
    <cellStyle name="40% - Accent6 2 2 2 3 2 2" xfId="3597" xr:uid="{8EDC4076-3F02-41DB-830D-409750CF7B2E}"/>
    <cellStyle name="40% - Accent6 2 2 2 3 2 2 2" xfId="7052" xr:uid="{1E35ADD3-F94A-494B-8A3C-C1EEA484E563}"/>
    <cellStyle name="40% - Accent6 2 2 2 3 2 3" xfId="5313" xr:uid="{39ABC9E1-1D45-4E4E-9C1C-46105B9359B2}"/>
    <cellStyle name="40% - Accent6 2 2 2 3 3" xfId="2750" xr:uid="{CEC4370C-3BAB-4A08-8BC5-91F90B4EEA49}"/>
    <cellStyle name="40% - Accent6 2 2 2 3 3 2" xfId="6183" xr:uid="{0DED43C2-88E1-4F9D-9B07-B376163A6450}"/>
    <cellStyle name="40% - Accent6 2 2 2 3 4" xfId="4443" xr:uid="{351867FA-5778-423A-A14D-36E7764617E8}"/>
    <cellStyle name="40% - Accent6 2 2 2 4" xfId="1627" xr:uid="{8853B851-0B87-411D-8374-12BE7D4B671F}"/>
    <cellStyle name="40% - Accent6 2 2 2 4 2" xfId="3179" xr:uid="{2FC3AA85-FA3F-4982-8132-2A9611F42F7E}"/>
    <cellStyle name="40% - Accent6 2 2 2 4 2 2" xfId="6617" xr:uid="{37D220C1-56D4-4E8F-AA70-094B15141E99}"/>
    <cellStyle name="40% - Accent6 2 2 2 4 3" xfId="4878" xr:uid="{20AECF6A-36DB-4CB5-AE3B-5E4247DA1FC1}"/>
    <cellStyle name="40% - Accent6 2 2 2 5" xfId="740" xr:uid="{379B74B1-ECA2-485A-93F2-9A998B9B2771}"/>
    <cellStyle name="40% - Accent6 2 2 2 5 2" xfId="5748" xr:uid="{93B2BE8E-4A67-48D4-AAB7-9A083BA025D6}"/>
    <cellStyle name="40% - Accent6 2 2 2 6" xfId="4023" xr:uid="{BC911044-2B08-4DE8-8C59-A080B1F0B0D2}"/>
    <cellStyle name="40% - Accent6 2 2 3" xfId="407" xr:uid="{799860B3-3965-41A2-9215-4CD5FDAED9C9}"/>
    <cellStyle name="40% - Accent6 2 2 3 2" xfId="1267" xr:uid="{690110C8-E982-457D-ADDD-4775B539D83C}"/>
    <cellStyle name="40% - Accent6 2 2 3 2 2" xfId="2410" xr:uid="{5B6D60E7-E986-455B-8635-C94083715A0F}"/>
    <cellStyle name="40% - Accent6 2 2 3 2 2 2" xfId="3709" xr:uid="{07619DEE-9102-42DE-AA2D-79BA61FEB633}"/>
    <cellStyle name="40% - Accent6 2 2 3 2 2 2 2" xfId="7166" xr:uid="{2014F85B-0788-4D24-BAC4-6C49526E0DA9}"/>
    <cellStyle name="40% - Accent6 2 2 3 2 2 3" xfId="5427" xr:uid="{4A10DD89-A6D6-469D-856F-C82AED15501D}"/>
    <cellStyle name="40% - Accent6 2 2 3 2 3" xfId="2862" xr:uid="{4CC2D23C-7114-4813-B6C5-C0827952DD27}"/>
    <cellStyle name="40% - Accent6 2 2 3 2 3 2" xfId="6297" xr:uid="{72755549-8C07-4BBA-ACA7-AB5ECD99571F}"/>
    <cellStyle name="40% - Accent6 2 2 3 2 4" xfId="4557" xr:uid="{E89552A1-D17B-476B-AC00-8A2FDF45C42B}"/>
    <cellStyle name="40% - Accent6 2 2 3 3" xfId="1724" xr:uid="{8F41A8F1-AC05-4439-B203-98F86E31CA5F}"/>
    <cellStyle name="40% - Accent6 2 2 3 3 2" xfId="3289" xr:uid="{476EAF76-5CB8-41FB-A757-B4BDDA45A81B}"/>
    <cellStyle name="40% - Accent6 2 2 3 3 2 2" xfId="6731" xr:uid="{AA2F75E6-8E2E-497E-A547-3754D04EB3F9}"/>
    <cellStyle name="40% - Accent6 2 2 3 3 3" xfId="4992" xr:uid="{6C1DABDF-6899-4C57-9694-B499AC244211}"/>
    <cellStyle name="40% - Accent6 2 2 3 4" xfId="854" xr:uid="{AFD794E4-5621-4831-B90B-9AE496706845}"/>
    <cellStyle name="40% - Accent6 2 2 3 4 2" xfId="5862" xr:uid="{E1944082-7B27-4C81-BB95-1DA003F4E2EC}"/>
    <cellStyle name="40% - Accent6 2 2 3 5" xfId="4131" xr:uid="{E58E22A4-A9A1-48DD-8132-192738C70258}"/>
    <cellStyle name="40% - Accent6 2 2 4" xfId="1054" xr:uid="{8C7A73C5-C8A6-46D3-9F5D-B656456FB846}"/>
    <cellStyle name="40% - Accent6 2 2 4 2" xfId="2227" xr:uid="{3F457A47-9157-4A23-9E50-37B2DF56FCC8}"/>
    <cellStyle name="40% - Accent6 2 2 4 2 2" xfId="3500" xr:uid="{C998EB82-AB64-4094-A243-0B24F77DFE55}"/>
    <cellStyle name="40% - Accent6 2 2 4 2 2 2" xfId="6952" xr:uid="{1842DA97-5B4A-41BC-9A1B-FABDF17047FA}"/>
    <cellStyle name="40% - Accent6 2 2 4 2 3" xfId="5213" xr:uid="{07B763EA-57E4-4485-97B3-2F0AE1B9C530}"/>
    <cellStyle name="40% - Accent6 2 2 4 3" xfId="2657" xr:uid="{EE097707-45F6-4AFC-979C-8A4D2D6B42F6}"/>
    <cellStyle name="40% - Accent6 2 2 4 3 2" xfId="6083" xr:uid="{248EC833-6DB0-4B66-B225-611892275C30}"/>
    <cellStyle name="40% - Accent6 2 2 4 4" xfId="4344" xr:uid="{7D60EC68-5967-4DCA-B1E4-EDD8456F235E}"/>
    <cellStyle name="40% - Accent6 2 2 5" xfId="1509" xr:uid="{47682148-4646-400E-9AA1-26660CAE3DDE}"/>
    <cellStyle name="40% - Accent6 2 2 5 2" xfId="3083" xr:uid="{EFF2D70A-45C8-4739-9552-DD2F30300846}"/>
    <cellStyle name="40% - Accent6 2 2 5 2 2" xfId="6518" xr:uid="{1B850C7C-E834-4F78-BB7E-B239D6B9E21D}"/>
    <cellStyle name="40% - Accent6 2 2 5 3" xfId="4778" xr:uid="{C4852B4D-319A-4698-8F76-1DDEDD3F6F81}"/>
    <cellStyle name="40% - Accent6 2 2 6" xfId="640" xr:uid="{014BE211-82F4-4417-BC79-8B02C09FE39F}"/>
    <cellStyle name="40% - Accent6 2 2 6 2" xfId="5648" xr:uid="{DFA46D2B-EB37-49A5-A1D8-E89694C1E98F}"/>
    <cellStyle name="40% - Accent6 2 2 7" xfId="3932" xr:uid="{92208351-FE27-4FE6-89F6-836C604E55F9}"/>
    <cellStyle name="40% - Accent6 2 3" xfId="261" xr:uid="{91B265D8-3F57-40A5-8B1B-715AE53F7D2D}"/>
    <cellStyle name="40% - Accent6 2 3 2" xfId="470" xr:uid="{FB13F523-3E2B-4F2C-B768-F40B465E637D}"/>
    <cellStyle name="40% - Accent6 2 3 2 2" xfId="1330" xr:uid="{1F37DD4A-6ABC-4D2E-A3E1-9B262BE127B0}"/>
    <cellStyle name="40% - Accent6 2 3 2 2 2" xfId="2470" xr:uid="{3642465E-6F16-46F8-BEDD-B34A68522395}"/>
    <cellStyle name="40% - Accent6 2 3 2 2 2 2" xfId="3772" xr:uid="{9B4EE56C-7938-43D6-A74E-F5A9F552599D}"/>
    <cellStyle name="40% - Accent6 2 3 2 2 2 2 2" xfId="7229" xr:uid="{78818B87-BEB5-4370-B108-B4514C92A0B6}"/>
    <cellStyle name="40% - Accent6 2 3 2 2 2 3" xfId="5490" xr:uid="{F0583644-F571-49B7-880E-146477CFD67F}"/>
    <cellStyle name="40% - Accent6 2 3 2 2 3" xfId="2925" xr:uid="{3AA924A8-799E-4FBE-A41B-CD1CE76AEEE5}"/>
    <cellStyle name="40% - Accent6 2 3 2 2 3 2" xfId="6360" xr:uid="{F2B611AA-67DC-40E7-9A93-0FA7AAF7D2A5}"/>
    <cellStyle name="40% - Accent6 2 3 2 2 4" xfId="4620" xr:uid="{261070A3-7B8C-49FE-A42F-978934258AE7}"/>
    <cellStyle name="40% - Accent6 2 3 2 3" xfId="1787" xr:uid="{D59648F0-362A-45E0-B3F2-98F5AE045BC1}"/>
    <cellStyle name="40% - Accent6 2 3 2 3 2" xfId="3349" xr:uid="{F57026C2-0F9A-43AF-BFB6-F7FB99498EC0}"/>
    <cellStyle name="40% - Accent6 2 3 2 3 2 2" xfId="6794" xr:uid="{1BA91297-975D-4561-A45F-E4DF7F7D2DB0}"/>
    <cellStyle name="40% - Accent6 2 3 2 3 3" xfId="5055" xr:uid="{E6BF3FA5-A262-4297-A186-B859B9B7677E}"/>
    <cellStyle name="40% - Accent6 2 3 2 4" xfId="917" xr:uid="{69773D98-7800-415B-8952-B1E1F828E877}"/>
    <cellStyle name="40% - Accent6 2 3 2 4 2" xfId="5925" xr:uid="{60D5184A-1AF6-4053-85C3-22733B87ED17}"/>
    <cellStyle name="40% - Accent6 2 3 2 5" xfId="4191" xr:uid="{A745F93E-B980-4F10-829C-2171883F5F98}"/>
    <cellStyle name="40% - Accent6 2 3 3" xfId="1123" xr:uid="{4AECAAE4-CA4A-4D9F-8F3A-B46F45F1BDC5}"/>
    <cellStyle name="40% - Accent6 2 3 3 2" xfId="2282" xr:uid="{E07BED54-344C-4851-A5FA-0AFD9CE9338B}"/>
    <cellStyle name="40% - Accent6 2 3 3 2 2" xfId="3567" xr:uid="{F75AA095-3459-49EE-B0B5-2823616FB347}"/>
    <cellStyle name="40% - Accent6 2 3 3 2 2 2" xfId="7022" xr:uid="{72695DB6-FFDC-4632-8E82-9DE3381EFB22}"/>
    <cellStyle name="40% - Accent6 2 3 3 2 3" xfId="5283" xr:uid="{8C0B0335-3112-4A71-8D67-3B98944247F8}"/>
    <cellStyle name="40% - Accent6 2 3 3 3" xfId="2720" xr:uid="{6DA47845-A572-4A80-B9DA-5DA5190354E4}"/>
    <cellStyle name="40% - Accent6 2 3 3 3 2" xfId="6153" xr:uid="{AE28CC66-2EDE-457B-9658-750AE74C9059}"/>
    <cellStyle name="40% - Accent6 2 3 3 4" xfId="4413" xr:uid="{AB734383-C1D2-4582-A0C0-E3B8B6A0E5D3}"/>
    <cellStyle name="40% - Accent6 2 3 4" xfId="1597" xr:uid="{57022A34-190A-490D-BDA7-B86CF621B521}"/>
    <cellStyle name="40% - Accent6 2 3 4 2" xfId="3151" xr:uid="{87A1F50C-C32F-41AA-8237-E6198A4C6B2B}"/>
    <cellStyle name="40% - Accent6 2 3 4 2 2" xfId="6587" xr:uid="{C3F9F8FA-6E00-4D53-8103-24446FD82D3D}"/>
    <cellStyle name="40% - Accent6 2 3 4 3" xfId="4848" xr:uid="{3A09CFE8-4788-43AB-9B15-90C7C0A19D7D}"/>
    <cellStyle name="40% - Accent6 2 3 5" xfId="710" xr:uid="{F53C8181-D55F-4F6F-B4DB-5F3AACE9AA1A}"/>
    <cellStyle name="40% - Accent6 2 3 5 2" xfId="5718" xr:uid="{399D584E-46F2-4690-A27E-E95DAB2CF395}"/>
    <cellStyle name="40% - Accent6 2 3 6" xfId="3995" xr:uid="{AE95866B-C83A-4335-8FFC-5F451F7A9B8E}"/>
    <cellStyle name="40% - Accent6 2 4" xfId="375" xr:uid="{C708978B-A21E-4D16-B007-2B702B842488}"/>
    <cellStyle name="40% - Accent6 2 4 2" xfId="1237" xr:uid="{003C85E6-0C3E-483B-8E10-4473F5DF9EDD}"/>
    <cellStyle name="40% - Accent6 2 4 2 2" xfId="2382" xr:uid="{9D0B04DA-98E6-4CE3-AE52-8E5558E0E3F7}"/>
    <cellStyle name="40% - Accent6 2 4 2 2 2" xfId="3679" xr:uid="{3D2114DB-89B3-4696-8FE2-B95937B70D90}"/>
    <cellStyle name="40% - Accent6 2 4 2 2 2 2" xfId="7136" xr:uid="{DFCF4B19-1048-4A0C-BA9F-F9417E6D9C1F}"/>
    <cellStyle name="40% - Accent6 2 4 2 2 3" xfId="5397" xr:uid="{E32A126F-913A-4088-B7CC-76DD45D48629}"/>
    <cellStyle name="40% - Accent6 2 4 2 3" xfId="2832" xr:uid="{927E40CD-986A-484B-9274-15EFF89C9C18}"/>
    <cellStyle name="40% - Accent6 2 4 2 3 2" xfId="6267" xr:uid="{7CCDD998-BB46-4D27-8873-0EA876D709CE}"/>
    <cellStyle name="40% - Accent6 2 4 2 4" xfId="4527" xr:uid="{8E36D11B-C4BC-46B8-BFAE-C7F637FD131D}"/>
    <cellStyle name="40% - Accent6 2 4 3" xfId="1693" xr:uid="{FB5AF16B-60DB-42CA-B5B9-16E12FA52E8D}"/>
    <cellStyle name="40% - Accent6 2 4 3 2" xfId="3261" xr:uid="{530E009B-9D7D-41C5-9276-7D97A0111F7A}"/>
    <cellStyle name="40% - Accent6 2 4 3 2 2" xfId="6701" xr:uid="{B45781F1-2534-4168-9DD9-B3B66B9F643B}"/>
    <cellStyle name="40% - Accent6 2 4 3 3" xfId="4962" xr:uid="{5758DCF7-0A48-4250-B6F4-50496BA4EABA}"/>
    <cellStyle name="40% - Accent6 2 4 4" xfId="824" xr:uid="{7C8568B8-89F2-439C-A45E-9B30A9D95103}"/>
    <cellStyle name="40% - Accent6 2 4 4 2" xfId="5832" xr:uid="{2E599773-ADA3-4123-B597-1745602B2546}"/>
    <cellStyle name="40% - Accent6 2 4 5" xfId="4103" xr:uid="{1BEFDB3E-6A83-48F2-82C7-A317A1B843DE}"/>
    <cellStyle name="40% - Accent6 2 5" xfId="1024" xr:uid="{3838F727-338A-4DC8-B1DF-098FC3334B53}"/>
    <cellStyle name="40% - Accent6 2 5 2" xfId="2199" xr:uid="{2CA1588B-2D95-4B48-90F3-7C8FC0BDB4F9}"/>
    <cellStyle name="40% - Accent6 2 5 2 2" xfId="3472" xr:uid="{E6805EA9-E2D2-4120-A170-D517E042EC9C}"/>
    <cellStyle name="40% - Accent6 2 5 2 2 2" xfId="6922" xr:uid="{C1DAE90E-6373-445E-A4C6-4F7772705A4C}"/>
    <cellStyle name="40% - Accent6 2 5 2 3" xfId="5183" xr:uid="{FDE3D54E-1C67-4596-AB04-290F5F68F014}"/>
    <cellStyle name="40% - Accent6 2 5 3" xfId="2629" xr:uid="{0FAF67B2-7A9A-4022-AEE8-2252F9CB1680}"/>
    <cellStyle name="40% - Accent6 2 5 3 2" xfId="6053" xr:uid="{A56F4F1D-1098-472F-9F04-2CFBD717ED01}"/>
    <cellStyle name="40% - Accent6 2 5 4" xfId="4314" xr:uid="{EAA52006-856B-4150-9225-BB008C32DC99}"/>
    <cellStyle name="40% - Accent6 2 6" xfId="1478" xr:uid="{27736D28-6041-457D-90BA-10BC7C21F920}"/>
    <cellStyle name="40% - Accent6 2 6 2" xfId="3053" xr:uid="{9D72A315-3FE4-45DE-A216-0FEF20B74BDF}"/>
    <cellStyle name="40% - Accent6 2 6 2 2" xfId="6488" xr:uid="{C3B839CD-D541-486C-805F-9144AB2B4673}"/>
    <cellStyle name="40% - Accent6 2 6 3" xfId="4748" xr:uid="{9894B923-2527-41A7-BD17-01320545417A}"/>
    <cellStyle name="40% - Accent6 2 7" xfId="610" xr:uid="{2940391A-8886-471B-A666-4127E64E9EBD}"/>
    <cellStyle name="40% - Accent6 2 7 2" xfId="5618" xr:uid="{4B1EDC24-1393-4EAA-9247-A4DA2712D2A0}"/>
    <cellStyle name="40% - Accent6 2 8" xfId="3904" xr:uid="{60B8014A-534A-4735-80BB-A634EE297DAA}"/>
    <cellStyle name="40% - Accent6 3" xfId="179" xr:uid="{B8D11C7B-907B-43E2-872D-55D04BA4E408}"/>
    <cellStyle name="40% - Accent6 3 2" xfId="276" xr:uid="{71F49003-8FF8-4316-B271-8583B653DE78}"/>
    <cellStyle name="40% - Accent6 3 2 2" xfId="485" xr:uid="{91D5C9B9-AA07-4230-8F50-7ACAEE6C760E}"/>
    <cellStyle name="40% - Accent6 3 2 2 2" xfId="1345" xr:uid="{560CDFFF-C1E6-4804-B248-5983B666290D}"/>
    <cellStyle name="40% - Accent6 3 2 2 2 2" xfId="2484" xr:uid="{4BE03E5C-8CB3-4AF8-854D-2DE4E5307540}"/>
    <cellStyle name="40% - Accent6 3 2 2 2 2 2" xfId="3787" xr:uid="{ECE28D4C-BE85-4C28-A370-6DA603D0CEC8}"/>
    <cellStyle name="40% - Accent6 3 2 2 2 2 2 2" xfId="7244" xr:uid="{C0C51BD6-6978-4F6F-A0BB-A1ECE9E8DAD9}"/>
    <cellStyle name="40% - Accent6 3 2 2 2 2 3" xfId="5505" xr:uid="{F0475D0B-2D11-4685-AE29-67B3C002CC8B}"/>
    <cellStyle name="40% - Accent6 3 2 2 2 3" xfId="2940" xr:uid="{AC820854-B452-47B2-980C-F90BB0AE7116}"/>
    <cellStyle name="40% - Accent6 3 2 2 2 3 2" xfId="6375" xr:uid="{B01EC825-2ED5-48BE-BFD6-FE7718BAED26}"/>
    <cellStyle name="40% - Accent6 3 2 2 2 4" xfId="4635" xr:uid="{9464B92E-9612-40A8-9CF1-71AD1B8BF5A2}"/>
    <cellStyle name="40% - Accent6 3 2 2 3" xfId="1802" xr:uid="{495B29A3-F1C1-45C7-A2CC-4EDBF35E2870}"/>
    <cellStyle name="40% - Accent6 3 2 2 3 2" xfId="3363" xr:uid="{E7B93EA9-CE5B-4C49-A33A-1A2C0C3E8AA1}"/>
    <cellStyle name="40% - Accent6 3 2 2 3 2 2" xfId="6809" xr:uid="{7A18D131-4DDA-4AC6-BF57-00EB0F6E09DE}"/>
    <cellStyle name="40% - Accent6 3 2 2 3 3" xfId="5070" xr:uid="{BDDA357A-7D33-42F8-98C0-C6765F217A73}"/>
    <cellStyle name="40% - Accent6 3 2 2 4" xfId="932" xr:uid="{27421C98-B25B-438F-B3BB-73AB0FFE9F2E}"/>
    <cellStyle name="40% - Accent6 3 2 2 4 2" xfId="5940" xr:uid="{D1C84B3A-DC98-4C5F-BF5E-EDEE6CABD3C5}"/>
    <cellStyle name="40% - Accent6 3 2 2 5" xfId="4205" xr:uid="{731C923B-22F5-4CF4-9BAD-0E8177A6AB54}"/>
    <cellStyle name="40% - Accent6 3 2 3" xfId="1138" xr:uid="{A45947FC-6ABD-47D2-9C88-B059062FC3BE}"/>
    <cellStyle name="40% - Accent6 3 2 3 2" xfId="2296" xr:uid="{6C64643A-4F11-4F5E-831C-F49B42A30093}"/>
    <cellStyle name="40% - Accent6 3 2 3 2 2" xfId="3582" xr:uid="{567CDAD0-44B3-42B2-8C32-57CA23BF145D}"/>
    <cellStyle name="40% - Accent6 3 2 3 2 2 2" xfId="7037" xr:uid="{46DBB071-6761-41BB-8F56-37348AD7BB71}"/>
    <cellStyle name="40% - Accent6 3 2 3 2 3" xfId="5298" xr:uid="{334AFF15-4619-45D2-9BDA-C16165FD6771}"/>
    <cellStyle name="40% - Accent6 3 2 3 3" xfId="2735" xr:uid="{826205C9-32DA-4D3E-9992-040C5091D5ED}"/>
    <cellStyle name="40% - Accent6 3 2 3 3 2" xfId="6168" xr:uid="{873A803D-97A6-4B5D-B83A-F9CD367C617E}"/>
    <cellStyle name="40% - Accent6 3 2 3 4" xfId="4428" xr:uid="{1CA2D4D0-6E00-470E-9E45-CAB3EB7F6B29}"/>
    <cellStyle name="40% - Accent6 3 2 4" xfId="1612" xr:uid="{CDEDD0E6-A051-44F3-81F6-FE513DAE6961}"/>
    <cellStyle name="40% - Accent6 3 2 4 2" xfId="3165" xr:uid="{12C5B81E-B3EB-4BFB-B2C7-5F562023B11C}"/>
    <cellStyle name="40% - Accent6 3 2 4 2 2" xfId="6602" xr:uid="{25FFD9F2-2F00-46A2-8DBE-2A9296F6D240}"/>
    <cellStyle name="40% - Accent6 3 2 4 3" xfId="4863" xr:uid="{FDB9519D-FB40-451C-9322-EB68E14D38D4}"/>
    <cellStyle name="40% - Accent6 3 2 5" xfId="725" xr:uid="{C3045D8B-6B13-4D27-A04C-B0E0D2D31F30}"/>
    <cellStyle name="40% - Accent6 3 2 5 2" xfId="5733" xr:uid="{627C17B9-E0A0-409D-B872-9B8338C2A66A}"/>
    <cellStyle name="40% - Accent6 3 2 6" xfId="4009" xr:uid="{E029D4D9-4157-48C9-B352-BB3A38BC6FB8}"/>
    <cellStyle name="40% - Accent6 3 3" xfId="392" xr:uid="{00787690-2718-4C9A-B2C2-A4506E80B972}"/>
    <cellStyle name="40% - Accent6 3 3 2" xfId="1252" xr:uid="{EA092034-53F8-4C68-B20A-BD9562831153}"/>
    <cellStyle name="40% - Accent6 3 3 2 2" xfId="2396" xr:uid="{98206502-D8C7-4409-B75B-E57759027730}"/>
    <cellStyle name="40% - Accent6 3 3 2 2 2" xfId="3694" xr:uid="{32B345B9-701F-4BFD-972B-790E28419B28}"/>
    <cellStyle name="40% - Accent6 3 3 2 2 2 2" xfId="7151" xr:uid="{1443DA3B-4F37-484F-90B4-40E6AE1DBF33}"/>
    <cellStyle name="40% - Accent6 3 3 2 2 3" xfId="5412" xr:uid="{73EB6688-34F4-40C8-B70F-FBCC5EE51A5E}"/>
    <cellStyle name="40% - Accent6 3 3 2 3" xfId="2847" xr:uid="{CEDE586B-B299-48DE-AFC1-E256D15F78D5}"/>
    <cellStyle name="40% - Accent6 3 3 2 3 2" xfId="6282" xr:uid="{611C8E96-4EC0-43EB-AE94-5A57CAAE2C3D}"/>
    <cellStyle name="40% - Accent6 3 3 2 4" xfId="4542" xr:uid="{3FD81FE8-A0E1-4C8B-B2D0-DDB37FE122E1}"/>
    <cellStyle name="40% - Accent6 3 3 3" xfId="1709" xr:uid="{993324A4-65B2-41C8-B9E6-23E611867BA8}"/>
    <cellStyle name="40% - Accent6 3 3 3 2" xfId="3275" xr:uid="{31996D6F-BE6C-4F41-8ED3-5533B4925FBD}"/>
    <cellStyle name="40% - Accent6 3 3 3 2 2" xfId="6716" xr:uid="{BDE45572-68AA-404C-84C8-CCBBABCF1F50}"/>
    <cellStyle name="40% - Accent6 3 3 3 3" xfId="4977" xr:uid="{249FC0BA-177D-4A74-88D4-5BD1F602CE1C}"/>
    <cellStyle name="40% - Accent6 3 3 4" xfId="839" xr:uid="{ED7B4B34-AD0F-439A-8C7C-D6EA12260173}"/>
    <cellStyle name="40% - Accent6 3 3 4 2" xfId="5847" xr:uid="{E77DB3D1-31C6-4AAD-8D4E-738AF65BD20D}"/>
    <cellStyle name="40% - Accent6 3 3 5" xfId="4117" xr:uid="{BBEF7F6F-9AB5-41EA-A21B-A8B49319581A}"/>
    <cellStyle name="40% - Accent6 3 4" xfId="1039" xr:uid="{A610389F-5DC3-4518-B238-01A53F9F84AA}"/>
    <cellStyle name="40% - Accent6 3 4 2" xfId="2213" xr:uid="{39C2F1E2-B281-45CF-8B9A-44178C4C1F85}"/>
    <cellStyle name="40% - Accent6 3 4 2 2" xfId="3486" xr:uid="{534A2CC0-2059-4CE3-AC6B-0782DF30C1D1}"/>
    <cellStyle name="40% - Accent6 3 4 2 2 2" xfId="6937" xr:uid="{37E3E8FA-8002-4DEB-A774-B59E1E0AF540}"/>
    <cellStyle name="40% - Accent6 3 4 2 3" xfId="5198" xr:uid="{78392C8B-06E9-4E46-A01F-35768DC4654A}"/>
    <cellStyle name="40% - Accent6 3 4 3" xfId="2643" xr:uid="{827DAAC7-ACBF-46CE-B4D1-E8BAA11A5DF0}"/>
    <cellStyle name="40% - Accent6 3 4 3 2" xfId="6068" xr:uid="{9862E658-6888-43B1-BDF7-8D0622821AE7}"/>
    <cellStyle name="40% - Accent6 3 4 4" xfId="4329" xr:uid="{4522D9EF-CF33-44BF-BFBA-3D85B81FAE6D}"/>
    <cellStyle name="40% - Accent6 3 5" xfId="1494" xr:uid="{CD739D5C-6CE5-4DD4-AAAC-AA15B212C96B}"/>
    <cellStyle name="40% - Accent6 3 5 2" xfId="3068" xr:uid="{47B20C5F-336C-4361-A0CC-0384D8856162}"/>
    <cellStyle name="40% - Accent6 3 5 2 2" xfId="6503" xr:uid="{430A59D7-D733-4CB5-88E1-868FAE07671E}"/>
    <cellStyle name="40% - Accent6 3 5 3" xfId="4763" xr:uid="{4CE12DAD-BAE2-414E-B1AC-73DA441E7FCD}"/>
    <cellStyle name="40% - Accent6 3 6" xfId="625" xr:uid="{23738AAE-7BD6-40A5-9B93-172A1A12EA8E}"/>
    <cellStyle name="40% - Accent6 3 6 2" xfId="5633" xr:uid="{D1D27EEC-11B5-4A00-A151-F6143A48221B}"/>
    <cellStyle name="40% - Accent6 3 7" xfId="3918" xr:uid="{E03A7205-5133-471B-B614-72BD6CF36430}"/>
    <cellStyle name="40% - Accent6 4" xfId="246" xr:uid="{2FC16BEE-377B-491D-BC57-A1F662C6A979}"/>
    <cellStyle name="40% - Accent6 4 2" xfId="455" xr:uid="{DE1CEE59-8A34-4A9D-A888-91618162A799}"/>
    <cellStyle name="40% - Accent6 4 2 2" xfId="1315" xr:uid="{18EFEC05-11C7-4A2E-AE1D-40CF644F5D39}"/>
    <cellStyle name="40% - Accent6 4 2 2 2" xfId="2456" xr:uid="{EC9D78ED-F9E7-4076-952D-43FB34294835}"/>
    <cellStyle name="40% - Accent6 4 2 2 2 2" xfId="3757" xr:uid="{407AB0F2-A13F-4468-A8ED-5F11522CCF68}"/>
    <cellStyle name="40% - Accent6 4 2 2 2 2 2" xfId="7214" xr:uid="{F5D294AE-AA0F-43E9-A9BE-CF01800DA718}"/>
    <cellStyle name="40% - Accent6 4 2 2 2 3" xfId="5475" xr:uid="{342D749E-91F9-4A0C-9769-5ED0DA7B36E2}"/>
    <cellStyle name="40% - Accent6 4 2 2 3" xfId="2910" xr:uid="{A1257945-B830-47A9-BC28-1502CB3E5560}"/>
    <cellStyle name="40% - Accent6 4 2 2 3 2" xfId="6345" xr:uid="{CC4E23CD-1FFA-40CE-AD71-237034CF50D8}"/>
    <cellStyle name="40% - Accent6 4 2 2 4" xfId="4605" xr:uid="{46552C0A-4712-4C3E-929F-DEC8BAB6933C}"/>
    <cellStyle name="40% - Accent6 4 2 3" xfId="1772" xr:uid="{C52E47C9-EB83-4999-8BED-9424AB2C745C}"/>
    <cellStyle name="40% - Accent6 4 2 3 2" xfId="3335" xr:uid="{582AB80E-227D-46A7-9F68-583E4BB7EBF0}"/>
    <cellStyle name="40% - Accent6 4 2 3 2 2" xfId="6779" xr:uid="{F5FC0494-A270-46B6-BB0B-6309D9847DF2}"/>
    <cellStyle name="40% - Accent6 4 2 3 3" xfId="5040" xr:uid="{EA54B7B3-94AF-4BAE-B6C8-4CCD4E9DBB5F}"/>
    <cellStyle name="40% - Accent6 4 2 4" xfId="902" xr:uid="{C0A2A2F9-EEC6-4428-B4D7-E990247CFF1A}"/>
    <cellStyle name="40% - Accent6 4 2 4 2" xfId="5910" xr:uid="{B1F25A59-DDB1-4F3C-841E-611FDD574894}"/>
    <cellStyle name="40% - Accent6 4 2 5" xfId="4177" xr:uid="{BCC524EF-C248-417B-B302-4EB23AFEDB4D}"/>
    <cellStyle name="40% - Accent6 4 3" xfId="1108" xr:uid="{3A72550D-1EC0-4840-B4D1-FBFEC80E8C46}"/>
    <cellStyle name="40% - Accent6 4 3 2" xfId="2268" xr:uid="{A9B40189-8050-47C5-AED0-6DCA6AC8522E}"/>
    <cellStyle name="40% - Accent6 4 3 2 2" xfId="3553" xr:uid="{5E522027-0BF5-48EF-9C04-762CB508DBF1}"/>
    <cellStyle name="40% - Accent6 4 3 2 2 2" xfId="7007" xr:uid="{5DB3DD5B-EC83-434D-A887-41FF04738D25}"/>
    <cellStyle name="40% - Accent6 4 3 2 3" xfId="5268" xr:uid="{69A0048B-E7B9-49C6-9012-9A38F4738C25}"/>
    <cellStyle name="40% - Accent6 4 3 3" xfId="2706" xr:uid="{A4AF8990-9359-4079-8AF6-09088DEACA0D}"/>
    <cellStyle name="40% - Accent6 4 3 3 2" xfId="6138" xr:uid="{7FA68EB9-96C0-48CA-AC55-2C66DFA558B3}"/>
    <cellStyle name="40% - Accent6 4 3 4" xfId="4398" xr:uid="{5DEAEC67-3D8F-403F-836A-7DA9ADE96C19}"/>
    <cellStyle name="40% - Accent6 4 4" xfId="1582" xr:uid="{F1D151CD-A6EC-4761-8877-F87C0D23588D}"/>
    <cellStyle name="40% - Accent6 4 4 2" xfId="3136" xr:uid="{C09CF46C-609A-4DD8-BADB-D1BEF3BC4142}"/>
    <cellStyle name="40% - Accent6 4 4 2 2" xfId="6572" xr:uid="{49178F98-9CA9-4461-9944-552B5978B8A2}"/>
    <cellStyle name="40% - Accent6 4 4 3" xfId="4833" xr:uid="{D6A7BBA0-AFA2-423A-B64C-0303E2A30896}"/>
    <cellStyle name="40% - Accent6 4 5" xfId="695" xr:uid="{299A68BA-4949-4C1B-9126-B85E47EF0484}"/>
    <cellStyle name="40% - Accent6 4 5 2" xfId="5703" xr:uid="{E539F81B-76A7-49E0-8810-00998945425D}"/>
    <cellStyle name="40% - Accent6 4 6" xfId="3981" xr:uid="{A4A99DEE-CA96-4E9D-94D0-E706B86DA576}"/>
    <cellStyle name="40% - Accent6 5" xfId="357" xr:uid="{05BC4334-7FB1-4878-951B-F273A90B167B}"/>
    <cellStyle name="40% - Accent6 5 2" xfId="1222" xr:uid="{DBB69DF1-2C35-4927-9251-156CD609306B}"/>
    <cellStyle name="40% - Accent6 5 2 2" xfId="2368" xr:uid="{67A65771-7A9D-4305-BE77-96FE6880FDF9}"/>
    <cellStyle name="40% - Accent6 5 2 2 2" xfId="3665" xr:uid="{F1C7F3BF-304D-4800-A50B-831CF28EEEEF}"/>
    <cellStyle name="40% - Accent6 5 2 2 2 2" xfId="7121" xr:uid="{03D58430-3CA6-4498-A5A6-F9EF61CE0FDE}"/>
    <cellStyle name="40% - Accent6 5 2 2 3" xfId="5382" xr:uid="{955B888B-732D-4B2D-960E-F10414D3812D}"/>
    <cellStyle name="40% - Accent6 5 2 3" xfId="2818" xr:uid="{7193AE6A-A3D6-4EF3-936D-B7425BAD2096}"/>
    <cellStyle name="40% - Accent6 5 2 3 2" xfId="6252" xr:uid="{CC00D890-3C82-4768-B2EE-161880788C9C}"/>
    <cellStyle name="40% - Accent6 5 2 4" xfId="4512" xr:uid="{360406C6-E6B7-49AF-9842-DA6D85533837}"/>
    <cellStyle name="40% - Accent6 5 3" xfId="1676" xr:uid="{28E5FB38-57D7-4482-B3FF-EB0C6C9F1FF0}"/>
    <cellStyle name="40% - Accent6 5 3 2" xfId="3246" xr:uid="{4949CC46-C6F3-4748-AD7C-F87675C3E488}"/>
    <cellStyle name="40% - Accent6 5 3 2 2" xfId="6686" xr:uid="{82B4AF9B-43B3-48AE-8401-43A52330F2ED}"/>
    <cellStyle name="40% - Accent6 5 3 3" xfId="4947" xr:uid="{BDB33962-1FDE-43CA-BDD5-4360F972F6B0}"/>
    <cellStyle name="40% - Accent6 5 4" xfId="809" xr:uid="{528610E0-A9B5-4365-8D08-3D419E0B1E2D}"/>
    <cellStyle name="40% - Accent6 5 4 2" xfId="5817" xr:uid="{24A2DFC4-C8F6-461A-BBD5-5998FD506E80}"/>
    <cellStyle name="40% - Accent6 5 5" xfId="4089" xr:uid="{6A6BF859-496D-4609-9CE4-5E964838B613}"/>
    <cellStyle name="40% - Accent6 6" xfId="1009" xr:uid="{AA067F86-5510-4F46-93BF-E8618255FC45}"/>
    <cellStyle name="40% - Accent6 6 2" xfId="2185" xr:uid="{C87A1DED-C724-4D0D-B9F9-89776E4069A7}"/>
    <cellStyle name="40% - Accent6 6 2 2" xfId="3458" xr:uid="{EF2C5A94-9ED3-47EE-8045-4E590FF6E15E}"/>
    <cellStyle name="40% - Accent6 6 2 2 2" xfId="6907" xr:uid="{588E984A-7BA6-48FA-839A-8F3D7A66EAB5}"/>
    <cellStyle name="40% - Accent6 6 2 3" xfId="5168" xr:uid="{4DE721DB-1195-4CAA-A565-295D9D8A6B3E}"/>
    <cellStyle name="40% - Accent6 6 3" xfId="2615" xr:uid="{8FB685DF-2F89-49D2-AA21-1C540DEFC128}"/>
    <cellStyle name="40% - Accent6 6 3 2" xfId="6038" xr:uid="{209A2E12-5631-4B02-BC7E-4631E0C92986}"/>
    <cellStyle name="40% - Accent6 6 4" xfId="4300" xr:uid="{51F6C697-ED6A-43D9-9134-612C8D467511}"/>
    <cellStyle name="40% - Accent6 7" xfId="1458" xr:uid="{F81DF0D4-9933-41CC-B772-195E0BF9AA16}"/>
    <cellStyle name="40% - Accent6 7 2" xfId="3038" xr:uid="{963F7AC0-C9BF-43C3-BB12-8760CF03F325}"/>
    <cellStyle name="40% - Accent6 7 2 2" xfId="6473" xr:uid="{8BF53284-3E0A-4C7F-9B12-18CF73DD506A}"/>
    <cellStyle name="40% - Accent6 7 3" xfId="4733" xr:uid="{D152E3C3-6130-49DC-AC75-E1FCE93356E4}"/>
    <cellStyle name="40% - Accent6 8" xfId="595" xr:uid="{9FD0399B-19A1-4847-9251-2792D03FCD95}"/>
    <cellStyle name="40% - Accent6 8 2" xfId="5603" xr:uid="{167C63F5-9805-4A0B-99B3-AC67F94E06B4}"/>
    <cellStyle name="40% - Accent6 9" xfId="3890" xr:uid="{1E53AD4B-6636-4336-A864-7D63F06BEEFC}"/>
    <cellStyle name="60% - Accent1 2" xfId="2019" xr:uid="{2AD3057B-8CC6-4F8A-87BC-8B68E3047412}"/>
    <cellStyle name="60% - Accent1 3" xfId="127" xr:uid="{86BD2686-EA13-4B94-AB40-AC8E1B0A0971}"/>
    <cellStyle name="60% - Accent2 2" xfId="2020" xr:uid="{D85B671A-1587-4075-B337-4E54BF078001}"/>
    <cellStyle name="60% - Accent2 3" xfId="128" xr:uid="{1DE2B130-5CCB-4995-B527-9CFB37907550}"/>
    <cellStyle name="60% - Accent3 2" xfId="2021" xr:uid="{40B64CC2-0332-4356-A9C7-204FF3C945C0}"/>
    <cellStyle name="60% - Accent3 3" xfId="129" xr:uid="{F5995422-4D15-4BD2-B706-5389DEB06F64}"/>
    <cellStyle name="60% - Accent4 2" xfId="2022" xr:uid="{0C787D5C-C470-4654-89FA-98C5304FCE5D}"/>
    <cellStyle name="60% - Accent4 3" xfId="130" xr:uid="{94991F87-CA00-471C-B5E9-08BBAA978E92}"/>
    <cellStyle name="60% - Accent5 2" xfId="2023" xr:uid="{EAF9900F-F542-4251-8877-4C1916528995}"/>
    <cellStyle name="60% - Accent5 3" xfId="131" xr:uid="{57F31374-3F93-44C3-A2A1-0AFACF81A2D9}"/>
    <cellStyle name="60% - Accent6 2" xfId="2024" xr:uid="{F83B0AE4-1BC9-47AF-A0CD-409B4A4D7AB9}"/>
    <cellStyle name="60% - Accent6 3" xfId="132" xr:uid="{776B9300-411A-480A-901A-EF21E90BD23E}"/>
    <cellStyle name="Accent1" xfId="78" builtinId="29" customBuiltin="1"/>
    <cellStyle name="Accent2" xfId="81" builtinId="33" customBuiltin="1"/>
    <cellStyle name="Accent3" xfId="84" builtinId="37" customBuiltin="1"/>
    <cellStyle name="Accent4" xfId="87" builtinId="41" customBuiltin="1"/>
    <cellStyle name="Accent5" xfId="90" builtinId="45" customBuiltin="1"/>
    <cellStyle name="Accent6" xfId="93" builtinId="49" customBuiltin="1"/>
    <cellStyle name="Bad" xfId="69" builtinId="27" customBuiltin="1"/>
    <cellStyle name="Body" xfId="7" xr:uid="{3E5458E2-904D-4FC1-A9DF-684830F6F090}"/>
    <cellStyle name="Calc Currency (0)" xfId="8" xr:uid="{5EFC7D8E-06D3-4344-B9C6-8F21789185FB}"/>
    <cellStyle name="Calculation" xfId="72" builtinId="22" customBuiltin="1"/>
    <cellStyle name="Check Cell" xfId="74" builtinId="23" customBuiltin="1"/>
    <cellStyle name="Comma" xfId="9" builtinId="3"/>
    <cellStyle name="Comma 10" xfId="10" xr:uid="{9483CFCA-278C-4422-BC38-8621E05451FA}"/>
    <cellStyle name="Comma 10 10" xfId="112" xr:uid="{02E85790-8023-4112-AA43-287BA71DCC34}"/>
    <cellStyle name="Comma 10 2" xfId="321" xr:uid="{E17BFBD8-C2A3-47C9-BD95-78B7F353E529}"/>
    <cellStyle name="Comma 10 2 2" xfId="531" xr:uid="{0D67BC16-291C-40BA-A17D-3328293951D0}"/>
    <cellStyle name="Comma 10 2 2 2" xfId="1391" xr:uid="{4B261FF0-F504-4E67-9663-D1177AB4D434}"/>
    <cellStyle name="Comma 10 2 2 2 2" xfId="2527" xr:uid="{964EDDE5-68EA-4470-A2D9-AB1E2E2C2777}"/>
    <cellStyle name="Comma 10 2 2 2 2 2" xfId="3833" xr:uid="{C2BE1654-31B0-4D41-8D69-F352FEDB5F52}"/>
    <cellStyle name="Comma 10 2 2 2 2 2 2" xfId="7290" xr:uid="{2F931985-59E4-4BA0-8320-C7E8DD8AE374}"/>
    <cellStyle name="Comma 10 2 2 2 2 3" xfId="5551" xr:uid="{134330C0-D54E-4747-B1B1-99938B6098DB}"/>
    <cellStyle name="Comma 10 2 2 2 3" xfId="2986" xr:uid="{6B30C477-DAC3-4448-9B11-322BD7E6DD03}"/>
    <cellStyle name="Comma 10 2 2 2 3 2" xfId="6421" xr:uid="{9097E05E-7E4E-4857-9F9C-7B795E9D9675}"/>
    <cellStyle name="Comma 10 2 2 2 4" xfId="4681" xr:uid="{3914BEFB-3134-4D75-911C-FDB200857A33}"/>
    <cellStyle name="Comma 10 2 2 3" xfId="1848" xr:uid="{0254CD12-626C-4FFA-9EE4-A5AA0F731010}"/>
    <cellStyle name="Comma 10 2 2 3 2" xfId="3406" xr:uid="{51AE3FC4-B919-4A0B-B628-C31996C614EF}"/>
    <cellStyle name="Comma 10 2 2 3 2 2" xfId="6855" xr:uid="{E5D6044F-442C-4398-9BC3-EC24817E4A30}"/>
    <cellStyle name="Comma 10 2 2 3 3" xfId="5116" xr:uid="{2BB7948A-48A9-4DEC-AFEF-A3C628C7FF1C}"/>
    <cellStyle name="Comma 10 2 2 4" xfId="978" xr:uid="{9A1644FB-6BAD-4AC8-9B96-FC16D1DD0E60}"/>
    <cellStyle name="Comma 10 2 2 4 2" xfId="5986" xr:uid="{EC12A5FE-08D1-4AE6-BC67-D3185B79E87A}"/>
    <cellStyle name="Comma 10 2 2 5" xfId="4248" xr:uid="{66C5A383-B209-43B9-A8A4-655382261F79}"/>
    <cellStyle name="Comma 10 2 3" xfId="1184" xr:uid="{78921FFB-94D6-4020-8A16-613A4EF6C540}"/>
    <cellStyle name="Comma 10 2 3 2" xfId="2333" xr:uid="{BB22A4EA-BD17-4DE7-B41B-70116E396E9B}"/>
    <cellStyle name="Comma 10 2 3 2 2" xfId="3628" xr:uid="{0FE2D839-ADD9-4D4A-97F3-93858D2348A2}"/>
    <cellStyle name="Comma 10 2 3 2 2 2" xfId="7083" xr:uid="{B4D2E1C6-42E0-4E41-B155-4B95593AD398}"/>
    <cellStyle name="Comma 10 2 3 2 3" xfId="5344" xr:uid="{26D15D82-57D0-4917-9010-8D5ABA8C41FC}"/>
    <cellStyle name="Comma 10 2 3 3" xfId="2781" xr:uid="{C5148EFD-2D49-4FE6-85A8-73C6BAEDE81A}"/>
    <cellStyle name="Comma 10 2 3 3 2" xfId="6214" xr:uid="{D8CE1099-37CF-4754-B384-CDBCD3D132C3}"/>
    <cellStyle name="Comma 10 2 3 4" xfId="4474" xr:uid="{A70100AC-D895-43A9-88F1-08799A130320}"/>
    <cellStyle name="Comma 10 2 4" xfId="1645" xr:uid="{5D239546-081A-42C7-B042-DD6887DA74B3}"/>
    <cellStyle name="Comma 10 2 4 2" xfId="3208" xr:uid="{2D1C6E9D-797D-43BE-973D-132BC97570BE}"/>
    <cellStyle name="Comma 10 2 4 2 2" xfId="6648" xr:uid="{7E62E5F3-D876-45DB-A6FE-99EF0D536E37}"/>
    <cellStyle name="Comma 10 2 4 3" xfId="4909" xr:uid="{13006949-AFDB-4AFF-A989-5226B173A11F}"/>
    <cellStyle name="Comma 10 2 5" xfId="771" xr:uid="{660FFBBC-4203-4FBB-9EC7-93BE93381C40}"/>
    <cellStyle name="Comma 10 2 5 2" xfId="5779" xr:uid="{FF547CF3-8020-416F-B9EE-9C0E6E7EF3AC}"/>
    <cellStyle name="Comma 10 2 6" xfId="4052" xr:uid="{FE085F56-9BE1-4B29-9B62-845CB2ED2578}"/>
    <cellStyle name="Comma 10 3" xfId="433" xr:uid="{1C75ADC7-DE12-4C41-BBCD-AEC8113237B1}"/>
    <cellStyle name="Comma 10 3 2" xfId="1293" xr:uid="{870F5E66-BA8F-4FE8-B75A-2CA9A6B343B9}"/>
    <cellStyle name="Comma 10 3 2 2" xfId="2434" xr:uid="{55E2AE6C-6F63-472D-89C5-A097660F43F7}"/>
    <cellStyle name="Comma 10 3 2 2 2" xfId="3735" xr:uid="{63EE0213-8138-4D85-B940-36BEF9F42911}"/>
    <cellStyle name="Comma 10 3 2 2 2 2" xfId="7192" xr:uid="{409B8BE6-C677-4950-A758-59EB56E7DAB3}"/>
    <cellStyle name="Comma 10 3 2 2 3" xfId="5453" xr:uid="{03CDE0F8-E2A0-43EB-8B90-9C95A4EA9E2A}"/>
    <cellStyle name="Comma 10 3 2 3" xfId="2888" xr:uid="{D63AC6B7-137D-4A7F-90D4-926748B5CBE1}"/>
    <cellStyle name="Comma 10 3 2 3 2" xfId="6323" xr:uid="{DF947539-2082-4916-A3F1-072DBAA90114}"/>
    <cellStyle name="Comma 10 3 2 4" xfId="4583" xr:uid="{1672029C-D21E-4B4B-967F-E9DF464CC443}"/>
    <cellStyle name="Comma 10 3 3" xfId="1750" xr:uid="{87138061-1DA2-499E-B488-549A8DA9501F}"/>
    <cellStyle name="Comma 10 3 3 2" xfId="3313" xr:uid="{215AA0BA-8E33-4208-81F9-C42E9C3A282A}"/>
    <cellStyle name="Comma 10 3 3 2 2" xfId="6757" xr:uid="{EA275C08-D6B6-49FC-8B31-4460347F2CED}"/>
    <cellStyle name="Comma 10 3 3 3" xfId="5018" xr:uid="{FAAB7889-2819-4C19-A409-570CB6947A60}"/>
    <cellStyle name="Comma 10 3 4" xfId="880" xr:uid="{F843C8B5-6028-428E-8C2C-FEE2EFAC8A72}"/>
    <cellStyle name="Comma 10 3 4 2" xfId="5888" xr:uid="{C4CCC3DF-10BA-4BF1-BA56-2037A87A8FDD}"/>
    <cellStyle name="Comma 10 3 5" xfId="4155" xr:uid="{DB8CEAA6-AA4A-42FA-BE8E-77948FC98E77}"/>
    <cellStyle name="Comma 10 4" xfId="545" xr:uid="{D0C29B10-6C88-43D6-90C4-64BAFE95B03A}"/>
    <cellStyle name="Comma 10 4 2" xfId="1405" xr:uid="{BE2AC392-D56F-400C-AC91-3BE2BFE24A00}"/>
    <cellStyle name="Comma 10 4 2 2" xfId="2552" xr:uid="{23A6A3F2-102D-4A0F-A4C6-E8E555ECA82D}"/>
    <cellStyle name="Comma 10 4 2 2 2" xfId="3858" xr:uid="{834C0AB1-709D-4EF4-A28A-D5E22D909574}"/>
    <cellStyle name="Comma 10 4 2 2 2 2" xfId="7315" xr:uid="{5E7DA2C1-85C9-4FA6-839B-4C4B15E7240A}"/>
    <cellStyle name="Comma 10 4 2 2 3" xfId="5576" xr:uid="{DC0F3E52-4DAF-4278-8E2E-6BF3CC82E1DF}"/>
    <cellStyle name="Comma 10 4 2 3" xfId="3011" xr:uid="{1D6B91C5-5A2A-498C-B7DD-67681CDA545D}"/>
    <cellStyle name="Comma 10 4 2 3 2" xfId="6446" xr:uid="{9E922FA6-DDEB-45E2-A59C-81E753D54478}"/>
    <cellStyle name="Comma 10 4 2 4" xfId="4706" xr:uid="{08361423-63C5-48CB-AFC2-3D9A6AC3854C}"/>
    <cellStyle name="Comma 10 4 3" xfId="1892" xr:uid="{F9D64C09-65E0-4F11-B9F2-57715E4E1886}"/>
    <cellStyle name="Comma 10 4 3 2" xfId="3431" xr:uid="{C9576A0C-7140-4843-B5C4-9C40308DC47B}"/>
    <cellStyle name="Comma 10 4 3 2 2" xfId="6880" xr:uid="{9C91314E-58A4-4F2C-91CA-2383303BDFBA}"/>
    <cellStyle name="Comma 10 4 3 3" xfId="5141" xr:uid="{364C4950-79A5-4C76-AAFE-D2DB6D811C0C}"/>
    <cellStyle name="Comma 10 4 4" xfId="992" xr:uid="{072FFBAE-F183-444F-B958-77B9D6B878F1}"/>
    <cellStyle name="Comma 10 4 4 2" xfId="6011" xr:uid="{D0CBD344-775D-46EF-8CE2-A8FE43C05BC1}"/>
    <cellStyle name="Comma 10 4 5" xfId="4273" xr:uid="{A902254E-AF01-406F-BB3C-93A618215956}"/>
    <cellStyle name="Comma 10 5" xfId="1084" xr:uid="{30F57876-F9EC-499C-9396-7A77A4ADDAF7}"/>
    <cellStyle name="Comma 10 5 2" xfId="2248" xr:uid="{F953A02E-127B-42EF-A34E-EE470D389793}"/>
    <cellStyle name="Comma 10 5 2 2" xfId="3529" xr:uid="{7F5AE057-102B-4219-888A-83829B070EF2}"/>
    <cellStyle name="Comma 10 5 2 2 2" xfId="6983" xr:uid="{A9D299BC-E6B0-47D0-AADB-42AF862952CB}"/>
    <cellStyle name="Comma 10 5 2 3" xfId="5244" xr:uid="{750D5C8F-194C-477A-A7E0-35AC5F7DFACC}"/>
    <cellStyle name="Comma 10 5 3" xfId="2682" xr:uid="{C3CC7C63-3A67-4C14-ADA8-D228C0B6E575}"/>
    <cellStyle name="Comma 10 5 3 2" xfId="6114" xr:uid="{7C013F86-6876-458C-8BEA-587E514B6AE0}"/>
    <cellStyle name="Comma 10 5 4" xfId="4374" xr:uid="{BCCE711F-6EEC-4C90-9ACF-46707137DE94}"/>
    <cellStyle name="Comma 10 6" xfId="1543" xr:uid="{B0BFA16F-8092-418F-ADF4-34EE3228B456}"/>
    <cellStyle name="Comma 10 6 2" xfId="2032" xr:uid="{E30E9351-999A-424B-B94A-76854C817B96}"/>
    <cellStyle name="Comma 10 6 2 2" xfId="6548" xr:uid="{DC00A452-DA22-4B86-83F6-C6EDDB9707DF}"/>
    <cellStyle name="Comma 10 6 3" xfId="4809" xr:uid="{7EB2BD1C-8036-4DA5-870E-F1D3B0BC7E6F}"/>
    <cellStyle name="Comma 10 7" xfId="671" xr:uid="{EA35C00C-4694-46DF-98C0-DA0DC7EBEBCF}"/>
    <cellStyle name="Comma 10 7 2" xfId="2141" xr:uid="{7DF15FF4-3D33-46DB-A1CF-71FA0D77679A}"/>
    <cellStyle name="Comma 10 7 2 2" xfId="2565" xr:uid="{3D96A89B-4156-4369-A5F1-0E5ED214A177}"/>
    <cellStyle name="Comma 10 7 2 2 2" xfId="3872" xr:uid="{AE5649DD-E8AC-416E-AA02-091076569366}"/>
    <cellStyle name="Comma 10 7 2 2 2 2" xfId="7329" xr:uid="{3C54ACA5-E42C-433A-B329-3D8110366FAC}"/>
    <cellStyle name="Comma 10 7 2 2 3" xfId="5590" xr:uid="{6B3DB794-18A2-44BC-AF64-E32A2604616D}"/>
    <cellStyle name="Comma 10 7 2 3" xfId="3025" xr:uid="{F2627662-C28F-4D44-B6BE-0A38EE894829}"/>
    <cellStyle name="Comma 10 7 2 3 2" xfId="6460" xr:uid="{D5877DA9-08AA-446E-A6C5-4C33C2B443E3}"/>
    <cellStyle name="Comma 10 7 2 4" xfId="4720" xr:uid="{398833AB-E1A6-4CA4-BF60-C39D65CB0198}"/>
    <cellStyle name="Comma 10 7 3" xfId="2036" xr:uid="{12BDA466-7E56-422C-B34B-EC5E0E4D337C}"/>
    <cellStyle name="Comma 10 7 3 2" xfId="3445" xr:uid="{0D052515-7DE1-4847-8F29-EC3D339D063D}"/>
    <cellStyle name="Comma 10 7 3 2 2" xfId="6894" xr:uid="{29FEAEB8-7C01-445C-B971-20F4CEE37945}"/>
    <cellStyle name="Comma 10 7 3 3" xfId="5155" xr:uid="{6DC7DA76-73D7-4247-BC14-D8890B3E3B45}"/>
    <cellStyle name="Comma 10 7 4" xfId="2602" xr:uid="{93B3C138-589A-4504-AC30-D77E34E5C96D}"/>
    <cellStyle name="Comma 10 7 4 2" xfId="6025" xr:uid="{9A415622-E5CF-47FC-B977-7DF1394FACB0}"/>
    <cellStyle name="Comma 10 7 5" xfId="4287" xr:uid="{D4B02AF9-E887-4E09-93DA-3454EDF89299}"/>
    <cellStyle name="Comma 10 8" xfId="1939" xr:uid="{5E15BEA5-994D-4358-8F46-E7753295CCB0}"/>
    <cellStyle name="Comma 10 8 2" xfId="2027" xr:uid="{4C9AF84C-319F-43A3-A82E-2C88230E76D3}"/>
    <cellStyle name="Comma 10 8 2 2" xfId="5679" xr:uid="{41727522-1BD2-4003-89DB-D70053B8F027}"/>
    <cellStyle name="Comma 10 9" xfId="3957" xr:uid="{C170F64C-C8EB-4430-B1B1-86A4F6FAA58F}"/>
    <cellStyle name="Comma 11" xfId="228" xr:uid="{A858598E-1E75-4198-9384-0C4E41A162F4}"/>
    <cellStyle name="Comma 11 2" xfId="326" xr:uid="{6DD55D80-F6A0-4625-BBB3-C89398916AC5}"/>
    <cellStyle name="Comma 11 2 2" xfId="536" xr:uid="{4877296A-0F86-41C2-893A-C8BD0F0B0CE0}"/>
    <cellStyle name="Comma 11 2 2 2" xfId="1396" xr:uid="{12D20AE4-91E4-4C95-BF46-3602667BC230}"/>
    <cellStyle name="Comma 11 2 2 2 2" xfId="2532" xr:uid="{6BE843B8-69FE-4A9A-84F8-E5BAB24D97FB}"/>
    <cellStyle name="Comma 11 2 2 2 2 2" xfId="3838" xr:uid="{409E80EA-442D-4FA2-8FAA-CE857C85A4CA}"/>
    <cellStyle name="Comma 11 2 2 2 2 2 2" xfId="7295" xr:uid="{71DF024B-1C53-46E6-AB5B-9F1ACF680501}"/>
    <cellStyle name="Comma 11 2 2 2 2 3" xfId="5556" xr:uid="{27201DD1-71D7-431E-8E40-040FD525C562}"/>
    <cellStyle name="Comma 11 2 2 2 3" xfId="2991" xr:uid="{BA6FE945-B981-4652-9100-F457EE2FBAE0}"/>
    <cellStyle name="Comma 11 2 2 2 3 2" xfId="6426" xr:uid="{F72D941F-BE33-4244-B986-487EB730E3D8}"/>
    <cellStyle name="Comma 11 2 2 2 4" xfId="4686" xr:uid="{551259E5-3A41-4CD1-B4BF-770C9692CD6F}"/>
    <cellStyle name="Comma 11 2 2 3" xfId="1853" xr:uid="{11D39556-CB3C-42E3-AB6D-F3E4C1DEFFF1}"/>
    <cellStyle name="Comma 11 2 2 3 2" xfId="3411" xr:uid="{7859F738-12BD-4897-9B10-4DDB2BCDF537}"/>
    <cellStyle name="Comma 11 2 2 3 2 2" xfId="6860" xr:uid="{88D14845-31E4-4046-9E57-02360A486693}"/>
    <cellStyle name="Comma 11 2 2 3 3" xfId="5121" xr:uid="{3DA62534-44D9-4053-9177-CF72D44FAE41}"/>
    <cellStyle name="Comma 11 2 2 4" xfId="983" xr:uid="{6DE4BDB0-8FCA-4315-881A-FEB5879ACA63}"/>
    <cellStyle name="Comma 11 2 2 4 2" xfId="5991" xr:uid="{5875C493-9A03-4B70-B8F7-5EADC77EE851}"/>
    <cellStyle name="Comma 11 2 2 5" xfId="4253" xr:uid="{0B2319F1-2127-4B96-A0AB-9D36C1A8B0A3}"/>
    <cellStyle name="Comma 11 2 3" xfId="1189" xr:uid="{B6B582DD-53EA-4188-8458-99DE0E9C4AB9}"/>
    <cellStyle name="Comma 11 2 3 2" xfId="1893" xr:uid="{C7B40EE3-BADE-4FDC-996F-7247F54EE4CD}"/>
    <cellStyle name="Comma 11 2 3 2 2" xfId="3633" xr:uid="{111D55FC-8AC4-4972-BA9D-E5C4217CEB8A}"/>
    <cellStyle name="Comma 11 2 3 2 2 2" xfId="7088" xr:uid="{E29F3775-C743-4CFC-B45F-1084D2D1B821}"/>
    <cellStyle name="Comma 11 2 3 2 3" xfId="5349" xr:uid="{09FA8D47-2D8D-4FAB-9056-77648CD7FCAC}"/>
    <cellStyle name="Comma 11 2 3 3" xfId="2786" xr:uid="{02AD14F8-5341-494C-AD3D-EBE7DF15047C}"/>
    <cellStyle name="Comma 11 2 3 3 2" xfId="6219" xr:uid="{DF0FF2AE-C496-4AFC-A515-2AAC58B5D17B}"/>
    <cellStyle name="Comma 11 2 3 4" xfId="4479" xr:uid="{22A412C5-6C72-4B87-9609-6D158C57B6EB}"/>
    <cellStyle name="Comma 11 2 4" xfId="1548" xr:uid="{4C1E7382-8641-4588-8FBC-BB04DD4F59C7}"/>
    <cellStyle name="Comma 11 2 4 2" xfId="3213" xr:uid="{ECA9C5C8-5E57-4AEE-BA3B-73C3AB06E0EC}"/>
    <cellStyle name="Comma 11 2 4 2 2" xfId="6653" xr:uid="{A10E3D3A-80C7-4FF4-B650-A54F0AD8BA40}"/>
    <cellStyle name="Comma 11 2 4 3" xfId="4914" xr:uid="{E6CB447B-A875-4611-820F-652939F710B2}"/>
    <cellStyle name="Comma 11 2 5" xfId="776" xr:uid="{60BADE0B-B2BF-4FE0-974B-48FEB1810188}"/>
    <cellStyle name="Comma 11 2 5 2" xfId="5784" xr:uid="{769FE615-9918-42B4-AA3D-090DFD295E0F}"/>
    <cellStyle name="Comma 11 2 6" xfId="4057" xr:uid="{91E9B982-1CAA-439D-BF62-4F9A08DD8AAA}"/>
    <cellStyle name="Comma 11 3" xfId="437" xr:uid="{50AAB6B2-F0FE-48FA-B064-13C58C0C8622}"/>
    <cellStyle name="Comma 11 3 2" xfId="1297" xr:uid="{46685134-50CC-4593-95C4-3753F09B780E}"/>
    <cellStyle name="Comma 11 3 2 2" xfId="2438" xr:uid="{E7D02D37-2988-4EDA-8FF3-69F4E436B7F1}"/>
    <cellStyle name="Comma 11 3 2 2 2" xfId="3739" xr:uid="{340FA0F4-3939-45CF-A037-CCB7332062FF}"/>
    <cellStyle name="Comma 11 3 2 2 2 2" xfId="7196" xr:uid="{0BA2D316-C43D-41A4-B8D7-D15ACBF93F04}"/>
    <cellStyle name="Comma 11 3 2 2 3" xfId="5457" xr:uid="{38F84496-63F3-42F7-945F-FDEDF217BA42}"/>
    <cellStyle name="Comma 11 3 2 3" xfId="2892" xr:uid="{BFF25357-54F9-4FDA-A02B-DFEC99D017BD}"/>
    <cellStyle name="Comma 11 3 2 3 2" xfId="6327" xr:uid="{518C2936-D355-4F15-9E13-D08203AC07A0}"/>
    <cellStyle name="Comma 11 3 2 4" xfId="4587" xr:uid="{904B274A-4766-43CA-A872-9246A2E1A014}"/>
    <cellStyle name="Comma 11 3 3" xfId="1754" xr:uid="{614E4C57-4D36-47A4-B767-D15803208B22}"/>
    <cellStyle name="Comma 11 3 3 2" xfId="3317" xr:uid="{1FC26426-FA61-48D9-88A7-8D3260F882FF}"/>
    <cellStyle name="Comma 11 3 3 2 2" xfId="6761" xr:uid="{6554F310-A68A-4AD1-81FC-958466CE755C}"/>
    <cellStyle name="Comma 11 3 3 3" xfId="5022" xr:uid="{B7943D9E-9CA4-463B-BD08-FD2A6C19B6F6}"/>
    <cellStyle name="Comma 11 3 4" xfId="884" xr:uid="{9013C2A3-C88A-434B-A0AD-E8A7D4DAE4FD}"/>
    <cellStyle name="Comma 11 3 4 2" xfId="5892" xr:uid="{9783AE1E-4856-42E9-A00A-8C74DD95CE30}"/>
    <cellStyle name="Comma 11 3 5" xfId="4159" xr:uid="{4B26DE7D-0770-47BA-B61A-EEB2B8434201}"/>
    <cellStyle name="Comma 11 4" xfId="1089" xr:uid="{78C1FF1D-A42F-497D-A295-276CF83E2A1A}"/>
    <cellStyle name="Comma 11 4 2" xfId="1870" xr:uid="{7764CC43-3DB8-44F6-A35F-1427CC2A0DEC}"/>
    <cellStyle name="Comma 11 4 2 2" xfId="3534" xr:uid="{C23974CF-46F0-43B3-9204-AA4A0652B5D4}"/>
    <cellStyle name="Comma 11 4 2 2 2" xfId="6988" xr:uid="{57BBE3C4-FF9C-43B1-9D27-15E97FB3F180}"/>
    <cellStyle name="Comma 11 4 2 3" xfId="5249" xr:uid="{3206F6B8-2F46-42A4-A66A-8EEBBAED266B}"/>
    <cellStyle name="Comma 11 4 3" xfId="2687" xr:uid="{28135010-21A6-4B18-B758-B598E7D92043}"/>
    <cellStyle name="Comma 11 4 3 2" xfId="6119" xr:uid="{5DBF714C-F713-4183-8373-E97E63EF44B5}"/>
    <cellStyle name="Comma 11 4 4" xfId="4379" xr:uid="{5878D2D3-464A-418D-A57C-68DC08EE096E}"/>
    <cellStyle name="Comma 11 5" xfId="1445" xr:uid="{21B9D780-9BFA-4181-9AC2-4867E49AE447}"/>
    <cellStyle name="Comma 11 5 2" xfId="3117" xr:uid="{443BC892-E05C-431B-89B7-EB8E8C1AEDA2}"/>
    <cellStyle name="Comma 11 5 2 2" xfId="6553" xr:uid="{1DDBDB48-392C-4DC5-BE2F-6816C3A06B21}"/>
    <cellStyle name="Comma 11 5 3" xfId="4814" xr:uid="{A35111EB-A6E2-4E8B-AE9D-B87231F5C2B8}"/>
    <cellStyle name="Comma 11 6" xfId="676" xr:uid="{BEFBDCC6-923B-4AF0-905E-BE0E99EDF446}"/>
    <cellStyle name="Comma 11 6 2" xfId="5684" xr:uid="{99A9ED11-E1B4-4A9A-A8B3-E47BBEB6607E}"/>
    <cellStyle name="Comma 11 7" xfId="3962" xr:uid="{FA1C40CD-3E02-4D0A-A8B1-A003605E734A}"/>
    <cellStyle name="Comma 12" xfId="233" xr:uid="{58C14015-59AD-44DA-8296-F49D453357CF}"/>
    <cellStyle name="Comma 12 2" xfId="332" xr:uid="{FB0B6682-BC97-4D10-9AEE-67A8918EECDD}"/>
    <cellStyle name="Comma 12 2 2" xfId="542" xr:uid="{4C330F26-1DDB-4469-A68F-EA80885879F0}"/>
    <cellStyle name="Comma 12 2 2 2" xfId="1402" xr:uid="{B61F53D4-F8A4-4DDF-87AF-239F592C653E}"/>
    <cellStyle name="Comma 12 2 2 2 2" xfId="2538" xr:uid="{87B80DFE-7612-4E33-B834-A6050C503B9E}"/>
    <cellStyle name="Comma 12 2 2 2 2 2" xfId="3844" xr:uid="{EB8AB3D3-1D6C-46A7-A92C-6A38B0EB308B}"/>
    <cellStyle name="Comma 12 2 2 2 2 2 2" xfId="7301" xr:uid="{349FC673-AF28-4BE2-9A22-3BC3B6ED2B18}"/>
    <cellStyle name="Comma 12 2 2 2 2 3" xfId="5562" xr:uid="{A0C65B8E-80AE-49F5-8A93-1FE0574AC875}"/>
    <cellStyle name="Comma 12 2 2 2 3" xfId="2997" xr:uid="{1719CDD0-455B-4FEB-AE56-A4F8DFB4458A}"/>
    <cellStyle name="Comma 12 2 2 2 3 2" xfId="6432" xr:uid="{B4F67DB6-5D86-4F8D-8651-C91D7276D710}"/>
    <cellStyle name="Comma 12 2 2 2 4" xfId="4692" xr:uid="{519E5F96-315A-4629-92FE-084226D9DDCC}"/>
    <cellStyle name="Comma 12 2 2 3" xfId="1859" xr:uid="{1AE0CFB6-39B8-4ED8-8D80-3621E55ED693}"/>
    <cellStyle name="Comma 12 2 2 3 2" xfId="3417" xr:uid="{345FBA1D-9D34-4031-A6DE-E63702267E71}"/>
    <cellStyle name="Comma 12 2 2 3 2 2" xfId="6866" xr:uid="{415BF440-0093-458F-BF61-164B61E88C97}"/>
    <cellStyle name="Comma 12 2 2 3 3" xfId="5127" xr:uid="{58DEBEA9-B8B8-4FD4-A674-599369D664C1}"/>
    <cellStyle name="Comma 12 2 2 4" xfId="989" xr:uid="{C87B1AC6-6543-427E-BB35-ACEDC66E80A1}"/>
    <cellStyle name="Comma 12 2 2 4 2" xfId="5997" xr:uid="{3880ABD4-41AB-4CAC-AE36-5DD5B5F44F66}"/>
    <cellStyle name="Comma 12 2 2 5" xfId="4259" xr:uid="{82C79BB3-BADF-4125-9F06-13E63291133F}"/>
    <cellStyle name="Comma 12 2 3" xfId="1195" xr:uid="{3ECA30F3-9EDD-4E05-B2A1-D4EE6E067D46}"/>
    <cellStyle name="Comma 12 2 3 2" xfId="2342" xr:uid="{872F35BF-A074-4831-8FD0-1002122A52D2}"/>
    <cellStyle name="Comma 12 2 3 2 2" xfId="3639" xr:uid="{0EC79CE3-B2CE-42C4-976D-58F197858EC6}"/>
    <cellStyle name="Comma 12 2 3 2 2 2" xfId="7094" xr:uid="{CA4346E1-C0F1-4B44-A56D-EEB6A3F796F4}"/>
    <cellStyle name="Comma 12 2 3 2 3" xfId="5355" xr:uid="{803B5E2C-C410-4FDE-AEBE-878E3AE6A34C}"/>
    <cellStyle name="Comma 12 2 3 3" xfId="2792" xr:uid="{90F483D1-400B-4780-BCE4-F26D1981A845}"/>
    <cellStyle name="Comma 12 2 3 3 2" xfId="6225" xr:uid="{C183D4F5-C572-432C-8ABE-4ECA71FD3168}"/>
    <cellStyle name="Comma 12 2 3 4" xfId="4485" xr:uid="{743C0AC5-C6E3-41AC-9298-40F3DBDC734B}"/>
    <cellStyle name="Comma 12 2 4" xfId="1652" xr:uid="{DD79988D-34BB-41A5-B837-149394805DCE}"/>
    <cellStyle name="Comma 12 2 4 2" xfId="3219" xr:uid="{08812BF3-6A05-43FA-956F-2846739EF974}"/>
    <cellStyle name="Comma 12 2 4 2 2" xfId="6659" xr:uid="{23CFCAD9-A7DF-4F58-9171-1EF83A5E2D71}"/>
    <cellStyle name="Comma 12 2 4 3" xfId="4920" xr:uid="{A57A1E62-54C9-4D22-B125-BD5E1E7E35EF}"/>
    <cellStyle name="Comma 12 2 5" xfId="782" xr:uid="{1A5A0132-FC5C-4A74-BB15-54DC95E49F51}"/>
    <cellStyle name="Comma 12 2 5 2" xfId="5790" xr:uid="{E7D0298F-13BA-4EBB-B5DD-24AA89158CA9}"/>
    <cellStyle name="Comma 12 2 6" xfId="4063" xr:uid="{29CD177A-8CE3-401A-A361-23F6D162FB41}"/>
    <cellStyle name="Comma 12 3" xfId="442" xr:uid="{F13C1D38-0371-42FD-BE6D-D9137274C7BF}"/>
    <cellStyle name="Comma 12 3 2" xfId="1302" xr:uid="{20255FB6-5120-4ADA-8283-612A4D9B41CF}"/>
    <cellStyle name="Comma 12 3 2 2" xfId="2443" xr:uid="{F19CDEBF-ACF3-4EDC-9C29-4FA35258BA84}"/>
    <cellStyle name="Comma 12 3 2 2 2" xfId="3744" xr:uid="{013346AE-645B-43C4-BEF2-627FFCE33B81}"/>
    <cellStyle name="Comma 12 3 2 2 2 2" xfId="7201" xr:uid="{0B4D5FD0-8F8C-4AC2-8759-08A2F17A438E}"/>
    <cellStyle name="Comma 12 3 2 2 3" xfId="5462" xr:uid="{D2D2B59E-E977-4C90-B2B0-DDB02C3723B2}"/>
    <cellStyle name="Comma 12 3 2 3" xfId="2897" xr:uid="{029661A9-0A1F-4F2D-B74D-DAC7F6122311}"/>
    <cellStyle name="Comma 12 3 2 3 2" xfId="6332" xr:uid="{BCADFCDD-5485-4317-9FF7-A5EE4327C240}"/>
    <cellStyle name="Comma 12 3 2 4" xfId="4592" xr:uid="{DB559D06-263F-4253-9CF6-4AFFD2FBE0EF}"/>
    <cellStyle name="Comma 12 3 3" xfId="1759" xr:uid="{C7558AB9-1212-4B61-90D6-067E46084141}"/>
    <cellStyle name="Comma 12 3 3 2" xfId="3322" xr:uid="{4312AFFB-312A-4BFA-A6C6-E431F14499FD}"/>
    <cellStyle name="Comma 12 3 3 2 2" xfId="6766" xr:uid="{7CA1B1BD-BC66-40B4-ADFF-3CED5BA28558}"/>
    <cellStyle name="Comma 12 3 3 3" xfId="5027" xr:uid="{0BD7CFFE-6935-40EE-8919-D8DA4ADECAF8}"/>
    <cellStyle name="Comma 12 3 4" xfId="889" xr:uid="{1297CB32-863D-4E0A-8AFC-B6B442E6191B}"/>
    <cellStyle name="Comma 12 3 4 2" xfId="5897" xr:uid="{680A8C41-B459-4A5D-A1CB-1AC0D727887B}"/>
    <cellStyle name="Comma 12 3 5" xfId="4164" xr:uid="{CD7DCDB0-CC21-4E7D-A6D3-59247F7DEDD3}"/>
    <cellStyle name="Comma 12 4" xfId="1095" xr:uid="{BBD391E0-ED2C-4372-A4F8-9A2C9A9026A8}"/>
    <cellStyle name="Comma 12 4 2" xfId="1895" xr:uid="{49C2A79D-2E80-4421-8A98-32AEB46F56E6}"/>
    <cellStyle name="Comma 12 4 2 2" xfId="3540" xr:uid="{ED64F3CE-EE5B-45E0-B4D3-4E2660287BED}"/>
    <cellStyle name="Comma 12 4 2 2 2" xfId="6994" xr:uid="{6E3766CF-C99B-475E-ADD0-0CECB251D9EB}"/>
    <cellStyle name="Comma 12 4 2 3" xfId="5255" xr:uid="{E2C1AA87-68B2-4121-8921-BA04E844EF7E}"/>
    <cellStyle name="Comma 12 4 3" xfId="2693" xr:uid="{E7159245-98DD-4D44-8E5E-F06DCB948EAC}"/>
    <cellStyle name="Comma 12 4 3 2" xfId="6125" xr:uid="{9CCB86BF-099E-4764-8F5F-CAE7E8DAA9B0}"/>
    <cellStyle name="Comma 12 4 4" xfId="4385" xr:uid="{6D89FA5D-7D2C-4CF3-B3B2-8EB26A9A3CF4}"/>
    <cellStyle name="Comma 12 5" xfId="1554" xr:uid="{8A4AEB98-ED91-4BC1-9361-5105EAF18CDA}"/>
    <cellStyle name="Comma 12 5 2" xfId="3123" xr:uid="{7C8BCE53-E41C-4127-A607-6D7A38AA541C}"/>
    <cellStyle name="Comma 12 5 2 2" xfId="6559" xr:uid="{BF5C2CF0-3F93-43CA-8DC6-0E60DD92FA5D}"/>
    <cellStyle name="Comma 12 5 3" xfId="4820" xr:uid="{A74A3E1C-EEC2-4C74-A4FD-99CA6A1E4A33}"/>
    <cellStyle name="Comma 12 6" xfId="682" xr:uid="{91479B0D-DE2E-4BA1-886C-913FB0213FD2}"/>
    <cellStyle name="Comma 12 6 2" xfId="5690" xr:uid="{0A75173A-93F5-4AD0-BF5A-89A3B393C0E4}"/>
    <cellStyle name="Comma 12 7" xfId="3968" xr:uid="{EE805D3D-4876-485C-AC1B-BCE66E549462}"/>
    <cellStyle name="Comma 13" xfId="120" xr:uid="{A5CEEFF2-05EB-48F5-BC2A-7D94BEE6CE03}"/>
    <cellStyle name="Comma 13 2" xfId="1198" xr:uid="{AFD8C85F-24DB-4BB3-B57B-A837350FF9E2}"/>
    <cellStyle name="Comma 13 2 2" xfId="2096" xr:uid="{ABE96D1E-B2B7-4FDB-A3CB-E5F6CFB2973B}"/>
    <cellStyle name="Comma 13 2 2 2" xfId="2556" xr:uid="{1D29CE7F-4627-4729-AFB7-60079D0F0D8B}"/>
    <cellStyle name="Comma 13 2 2 2 2" xfId="3862" xr:uid="{AA1E7344-95FD-45E2-A492-1554979000E8}"/>
    <cellStyle name="Comma 13 2 2 2 2 2" xfId="7319" xr:uid="{45744608-D3E4-4858-82B1-8B8CB77ACD6F}"/>
    <cellStyle name="Comma 13 2 2 2 3" xfId="5580" xr:uid="{908E569B-DF9E-45AA-A18B-D345C7E96E69}"/>
    <cellStyle name="Comma 13 2 2 3" xfId="3015" xr:uid="{30419B4C-3D62-448B-8D62-E6CC002C714E}"/>
    <cellStyle name="Comma 13 2 2 3 2" xfId="6450" xr:uid="{34878756-C91E-48C8-9429-77B12C9D5C1C}"/>
    <cellStyle name="Comma 13 2 2 4" xfId="4710" xr:uid="{AB85CB02-B3C7-41E2-950B-F99E6AD97708}"/>
    <cellStyle name="Comma 13 2 3" xfId="2164" xr:uid="{ECB9CF36-C85E-4BD4-966B-FDAA3423D1EB}"/>
    <cellStyle name="Comma 13 2 3 2" xfId="3435" xr:uid="{C9D8A37B-80F4-4AD2-8870-99A75921CCC0}"/>
    <cellStyle name="Comma 13 2 3 2 2" xfId="6884" xr:uid="{BF07D79B-9F17-485C-936A-59F80AF9DBB2}"/>
    <cellStyle name="Comma 13 2 3 3" xfId="5145" xr:uid="{97997270-2555-478A-B4E8-C258884701DE}"/>
    <cellStyle name="Comma 13 2 4" xfId="2592" xr:uid="{8CECF2A9-A396-4B4F-AA87-91E4424A1075}"/>
    <cellStyle name="Comma 13 2 4 2" xfId="6015" xr:uid="{C388C65B-B31B-41E2-8194-17EFB0FDBF4D}"/>
    <cellStyle name="Comma 13 2 5" xfId="4277" xr:uid="{A559E7E6-4B25-4466-BF40-566ACDE82E03}"/>
    <cellStyle name="Comma 13 3" xfId="1559" xr:uid="{7A7FA9B2-4142-42F4-AAAF-7D14CC09623A}"/>
    <cellStyle name="Comma 13 3 2" xfId="2345" xr:uid="{755EAC41-F7E9-46E0-B4FA-C3E1690D7779}"/>
    <cellStyle name="Comma 13 3 2 2" xfId="3642" xr:uid="{E3BE16CA-4767-411D-A05E-E6A82B523234}"/>
    <cellStyle name="Comma 13 3 2 2 2" xfId="7097" xr:uid="{C927F9A9-FC19-4252-9F4D-5B217FE24AB3}"/>
    <cellStyle name="Comma 13 3 2 3" xfId="5358" xr:uid="{B1360D9A-C876-4DCE-9BA1-D29CE56F4AAD}"/>
    <cellStyle name="Comma 13 3 3" xfId="2795" xr:uid="{9092A1EC-B7AD-4EB3-96C8-71305A7372ED}"/>
    <cellStyle name="Comma 13 3 3 2" xfId="6228" xr:uid="{FF735B8E-75E5-4ECF-A7E6-CE28377075EE}"/>
    <cellStyle name="Comma 13 3 4" xfId="4488" xr:uid="{ABA7D54F-0995-4E8D-A4D5-40A654D84B01}"/>
    <cellStyle name="Comma 13 4" xfId="785" xr:uid="{FC01C235-D0C1-460C-9BE4-048A7DFC13B2}"/>
    <cellStyle name="Comma 13 4 2" xfId="3222" xr:uid="{31B7C82A-8FDE-4ACF-A6BE-1CA4FDCAA177}"/>
    <cellStyle name="Comma 13 4 2 2" xfId="6662" xr:uid="{CF85C19D-2B0A-4AEF-B7CF-37F105E164F1}"/>
    <cellStyle name="Comma 13 4 3" xfId="4923" xr:uid="{FBE0E572-8537-484B-89B0-0C74400C8F48}"/>
    <cellStyle name="Comma 13 5" xfId="2575" xr:uid="{47C5BBB6-A323-4FF6-9A31-1E7954694F65}"/>
    <cellStyle name="Comma 13 5 2" xfId="5793" xr:uid="{E5215F91-D16F-4588-8450-14FABE21236F}"/>
    <cellStyle name="Comma 13 6" xfId="4066" xr:uid="{6B65C224-6AD3-4497-856A-767E10E296CA}"/>
    <cellStyle name="Comma 14" xfId="111" xr:uid="{912DC3C4-64E0-4C8F-85D0-682289FD9892}"/>
    <cellStyle name="Comma 14 2" xfId="551" xr:uid="{C7032014-291B-40E3-9900-BB96BD4E585F}"/>
    <cellStyle name="Comma 14 2 2" xfId="1861" xr:uid="{E0150CB4-5EF1-415D-8CE5-125DE8287062}"/>
    <cellStyle name="Comma 14 2 2 2" xfId="3865" xr:uid="{B691B01A-D20E-4377-AF00-80F1F7D852A9}"/>
    <cellStyle name="Comma 14 2 2 2 2" xfId="7322" xr:uid="{220464A7-C6D7-471C-8920-835A464941DB}"/>
    <cellStyle name="Comma 14 2 2 3" xfId="5583" xr:uid="{D22E4737-9C08-452E-A52C-B170FC04F75F}"/>
    <cellStyle name="Comma 14 2 3" xfId="3018" xr:uid="{4BF9969D-CDD6-4459-8BDC-3244E586ADA8}"/>
    <cellStyle name="Comma 14 2 3 2" xfId="6453" xr:uid="{0AB962A5-A841-42DE-BE4D-288AF11B30C6}"/>
    <cellStyle name="Comma 14 2 4" xfId="4713" xr:uid="{120FB304-00C2-48D0-BCD5-C364C0465063}"/>
    <cellStyle name="Comma 14 3" xfId="141" xr:uid="{89C0C0BF-20B8-4830-9673-8C423464533A}"/>
    <cellStyle name="Comma 14 3 2" xfId="3438" xr:uid="{2F44AE76-8719-46BA-BF2F-1216C238379C}"/>
    <cellStyle name="Comma 14 3 2 2" xfId="6887" xr:uid="{95A964F1-6EE7-44B5-988C-EF28632E6417}"/>
    <cellStyle name="Comma 14 3 3" xfId="5148" xr:uid="{3F3ECB3B-655F-4FF1-9F8B-EC2B48E4164B}"/>
    <cellStyle name="Comma 14 3 4" xfId="2167" xr:uid="{946FE3D7-73DB-4F32-BA36-8A677D051757}"/>
    <cellStyle name="Comma 14 4" xfId="2595" xr:uid="{3A700268-B51B-4EE5-8647-0D7ABA78390A}"/>
    <cellStyle name="Comma 14 4 2" xfId="6018" xr:uid="{706D17EB-324F-4547-AA94-BDDD5E4557FE}"/>
    <cellStyle name="Comma 14 5" xfId="4280" xr:uid="{A45B5623-0B10-4B0C-AFCB-B8FC1A46959F}"/>
    <cellStyle name="Comma 15" xfId="1413" xr:uid="{923007A4-611F-4784-B259-E9E1CDDE9755}"/>
    <cellStyle name="Comma 15 2" xfId="2101" xr:uid="{3D761FA8-2BFA-4631-880A-3E05BB52BA85}"/>
    <cellStyle name="Comma 15 2 2" xfId="2562" xr:uid="{53823C0F-7851-4A58-9B33-F38B75B35943}"/>
    <cellStyle name="Comma 15 2 2 2" xfId="3869" xr:uid="{A073F5E1-D479-41DE-B3F7-87FAD61B6EB3}"/>
    <cellStyle name="Comma 15 2 2 2 2" xfId="7326" xr:uid="{28260A7A-E031-4A5D-ACB2-36E9397AAD8C}"/>
    <cellStyle name="Comma 15 2 2 3" xfId="5587" xr:uid="{339BBE1E-771A-42EF-BD51-E16E97BEF95A}"/>
    <cellStyle name="Comma 15 2 3" xfId="3022" xr:uid="{D49E4C09-5689-420D-91F3-32E250B51D54}"/>
    <cellStyle name="Comma 15 2 3 2" xfId="6457" xr:uid="{B65D4B0F-7E4F-435A-835B-8394C6318B59}"/>
    <cellStyle name="Comma 15 2 4" xfId="4717" xr:uid="{462F36B5-FCF8-4A6A-BD45-58625111913F}"/>
    <cellStyle name="Comma 15 3" xfId="2170" xr:uid="{4823EF75-2C51-4173-B21B-9EF03369F7E6}"/>
    <cellStyle name="Comma 15 3 2" xfId="3442" xr:uid="{E216BAF4-2023-425B-AA13-1196AA0B36AE}"/>
    <cellStyle name="Comma 15 3 2 2" xfId="6891" xr:uid="{32D6016B-2B6B-451B-B6EA-34FAA049557D}"/>
    <cellStyle name="Comma 15 3 3" xfId="5152" xr:uid="{E8CBCAF3-1480-42D3-8ED7-12799F7C2E58}"/>
    <cellStyle name="Comma 15 4" xfId="2599" xr:uid="{08582013-0943-43B0-8BA1-CA22E46A9582}"/>
    <cellStyle name="Comma 15 4 2" xfId="6022" xr:uid="{1CEC7613-C566-46D9-AF51-73B6D4929E68}"/>
    <cellStyle name="Comma 15 5" xfId="4284" xr:uid="{25F0550B-9D08-439F-A2A8-FE48A7EB922B}"/>
    <cellStyle name="Comma 16" xfId="135" xr:uid="{2695CA04-EF63-4D47-BE75-BBCB0EB65349}"/>
    <cellStyle name="Comma 16 2" xfId="2139" xr:uid="{527DFA75-2CCA-4E34-9B8B-1E5BD012CAF4}"/>
    <cellStyle name="Comma 16 2 2" xfId="2563" xr:uid="{2A875553-5D0E-4D84-81BB-DF62474DA673}"/>
    <cellStyle name="Comma 16 2 2 2" xfId="3870" xr:uid="{1872535E-5234-4E5F-90A1-A4F1FCA12EC8}"/>
    <cellStyle name="Comma 16 2 2 2 2" xfId="7327" xr:uid="{7448DE43-7D7A-4693-A6CA-7CFB406FBF86}"/>
    <cellStyle name="Comma 16 2 2 3" xfId="5588" xr:uid="{997B6BCA-E3D5-475C-A9BB-A79603E247D1}"/>
    <cellStyle name="Comma 16 2 3" xfId="3023" xr:uid="{89445016-A673-4F8A-B46F-638AB40FB097}"/>
    <cellStyle name="Comma 16 2 3 2" xfId="6458" xr:uid="{6384DC89-63C7-40B1-ACE1-EB6CDABBC2E5}"/>
    <cellStyle name="Comma 16 2 4" xfId="4718" xr:uid="{E0C7AA91-D42A-4DBF-A76C-A77284AA6DB2}"/>
    <cellStyle name="Comma 16 3" xfId="2171" xr:uid="{0A99B401-C31A-41A6-85BB-608208E63C40}"/>
    <cellStyle name="Comma 16 3 2" xfId="3443" xr:uid="{8AEAD613-5A82-45CB-9CED-8358AEDBE38C}"/>
    <cellStyle name="Comma 16 3 2 2" xfId="6892" xr:uid="{58F65897-E56F-48E4-B215-EF310B5ACE5A}"/>
    <cellStyle name="Comma 16 3 3" xfId="5153" xr:uid="{C5330D75-6240-4527-A5CA-8A440A11E7E6}"/>
    <cellStyle name="Comma 16 4" xfId="2600" xr:uid="{182DA79E-1865-4E53-B0F9-2885A743D159}"/>
    <cellStyle name="Comma 16 4 2" xfId="6023" xr:uid="{43E6D207-CA83-4F70-B02F-DC3791875A01}"/>
    <cellStyle name="Comma 16 5" xfId="4285" xr:uid="{213153B9-1C1F-4283-AE67-54B21745A713}"/>
    <cellStyle name="Comma 17" xfId="1938" xr:uid="{308FF956-0E7E-4F5D-9349-312FCE07DE2B}"/>
    <cellStyle name="Comma 17 2" xfId="2026" xr:uid="{4A77E806-A7A5-4E6E-935D-28A903A9F42F}"/>
    <cellStyle name="Comma 17 2 2" xfId="2142" xr:uid="{A475F90F-29EF-4C47-84AF-B5697290BB7A}"/>
    <cellStyle name="Comma 17 2 2 2" xfId="2566" xr:uid="{07242ECD-2808-4D9F-829E-530BAAD030C9}"/>
    <cellStyle name="Comma 17 2 2 2 2" xfId="3873" xr:uid="{71C8F25A-02DC-4B53-8AC6-093120884790}"/>
    <cellStyle name="Comma 17 2 2 2 2 2" xfId="7330" xr:uid="{5CE3E74C-55A9-4FA8-AE2F-E2DD2CCD5DFC}"/>
    <cellStyle name="Comma 17 2 2 2 3" xfId="5591" xr:uid="{FDBACDD5-302F-4728-9663-C23D8A52711E}"/>
    <cellStyle name="Comma 17 2 2 3" xfId="3026" xr:uid="{414ACA0D-27BE-4126-916A-43F641287D27}"/>
    <cellStyle name="Comma 17 2 2 3 2" xfId="6461" xr:uid="{3BAC07E4-602D-4070-91B3-F7E4A8AA5DA2}"/>
    <cellStyle name="Comma 17 2 2 4" xfId="4721" xr:uid="{A7FEEE08-B122-40CD-AEB6-3E8190D4FC56}"/>
    <cellStyle name="Comma 17 2 3" xfId="2173" xr:uid="{756A00A4-BD4E-48D4-B425-E19A423CBA82}"/>
    <cellStyle name="Comma 17 2 3 2" xfId="3446" xr:uid="{51FBB623-DF2A-4D19-AB24-AFDC14C20F5C}"/>
    <cellStyle name="Comma 17 2 3 2 2" xfId="6895" xr:uid="{FEBDDD69-CA15-4543-A632-F7DBA78071E1}"/>
    <cellStyle name="Comma 17 2 3 3" xfId="5156" xr:uid="{E53DBF98-13DF-4468-9466-01EFD45E8EB1}"/>
    <cellStyle name="Comma 17 2 4" xfId="2603" xr:uid="{E93764FF-0C8F-4823-999D-C5E0DE6F9FBC}"/>
    <cellStyle name="Comma 17 2 4 2" xfId="6026" xr:uid="{E72C211B-9810-4E06-9B84-08041AABF4A6}"/>
    <cellStyle name="Comma 17 2 5" xfId="4288" xr:uid="{1D6B036F-C0B5-4E4C-9FBF-1B3A99BFCD49}"/>
    <cellStyle name="Comma 17 2 6" xfId="2083" xr:uid="{DCE474D2-F0D1-4AE1-89E6-FA0B7C20B947}"/>
    <cellStyle name="Comma 17 3" xfId="2140" xr:uid="{8A242118-3A17-45EC-951B-C684D2225D17}"/>
    <cellStyle name="Comma 17 3 2" xfId="2564" xr:uid="{AB0E3F9F-BD97-48A7-999A-AD4385B25B18}"/>
    <cellStyle name="Comma 17 3 2 2" xfId="3871" xr:uid="{31E9D52B-DA10-4392-AE5A-95B9AB606CA1}"/>
    <cellStyle name="Comma 17 3 2 2 2" xfId="7328" xr:uid="{26AAEC9B-D0A3-482B-864A-7E6C22AE34A4}"/>
    <cellStyle name="Comma 17 3 2 3" xfId="5589" xr:uid="{A79AB709-A94E-46E1-AB30-2F7D048AB9CE}"/>
    <cellStyle name="Comma 17 3 3" xfId="3024" xr:uid="{705D414F-99AE-46FA-8303-F3F01196D825}"/>
    <cellStyle name="Comma 17 3 3 2" xfId="6459" xr:uid="{77BB7642-3D95-48B9-A6CE-2046E436C02E}"/>
    <cellStyle name="Comma 17 3 4" xfId="4719" xr:uid="{A9F49A6F-E4FD-422F-B432-7E8EBBACD124}"/>
    <cellStyle name="Comma 17 4" xfId="2172" xr:uid="{51A7C302-CA65-47C9-A1B8-F8B9B8BFFB9A}"/>
    <cellStyle name="Comma 17 4 2" xfId="3444" xr:uid="{39193F4B-7BFF-4168-B47B-CD2C5BB2338C}"/>
    <cellStyle name="Comma 17 4 2 2" xfId="6893" xr:uid="{3E619C83-7F6F-435C-9060-0A070B3805B6}"/>
    <cellStyle name="Comma 17 4 3" xfId="5154" xr:uid="{4A18957B-42F8-4572-A646-BCCC91F3509C}"/>
    <cellStyle name="Comma 17 5" xfId="2601" xr:uid="{109DB7A9-3203-4DDA-8D61-630E836F1C66}"/>
    <cellStyle name="Comma 17 5 2" xfId="6024" xr:uid="{7706FB34-312C-4C47-B6C0-BB6E8506B3BF}"/>
    <cellStyle name="Comma 17 6" xfId="4286" xr:uid="{BF03F01E-FE28-4CBB-A8D9-A36606B3A4B2}"/>
    <cellStyle name="Comma 18" xfId="97" xr:uid="{BBD7561E-C780-4CBF-8355-29A94CCBF530}"/>
    <cellStyle name="Comma 2" xfId="11" xr:uid="{CC5D1535-71BC-4E51-99F4-0DC052BF5C28}"/>
    <cellStyle name="Comma 2 10" xfId="134" xr:uid="{831A9370-4D6B-434E-8B88-968F17F4B47B}"/>
    <cellStyle name="Comma 2 2" xfId="136" xr:uid="{90FA7CF0-53E9-45F7-A29A-D60F666213F5}"/>
    <cellStyle name="Comma 2 2 10" xfId="598" xr:uid="{6B60A193-A410-42B5-BD1F-C0111C502CB9}"/>
    <cellStyle name="Comma 2 2 10 2" xfId="5606" xr:uid="{654E9481-2897-4219-AEEA-1859FB081AB4}"/>
    <cellStyle name="Comma 2 2 11" xfId="554" xr:uid="{42C630AE-F6DF-40C2-A7F3-0AA5D07513F8}"/>
    <cellStyle name="Comma 2 2 2" xfId="105" xr:uid="{84845766-7798-4D36-9C39-A46EF56778F8}"/>
    <cellStyle name="Comma 2 2 2 10" xfId="163" xr:uid="{A158C461-085B-4BAB-8151-FC9E1B3807E5}"/>
    <cellStyle name="Comma 2 2 2 2" xfId="197" xr:uid="{D21EC2A4-A81F-4BE5-AF20-1B9EDEF188F1}"/>
    <cellStyle name="Comma 2 2 2 2 2" xfId="294" xr:uid="{D577A34E-BCCC-48CE-A496-47EA134673BD}"/>
    <cellStyle name="Comma 2 2 2 2 2 2" xfId="503" xr:uid="{0325A465-9055-41F3-8824-AFD2C25B3AF2}"/>
    <cellStyle name="Comma 2 2 2 2 2 2 2" xfId="1363" xr:uid="{EC7BDAEB-07AA-426E-A06D-A72461459B38}"/>
    <cellStyle name="Comma 2 2 2 2 2 2 2 2" xfId="1983" xr:uid="{CA0B41D6-284A-4F2F-A163-BF5E7ADA71C7}"/>
    <cellStyle name="Comma 2 2 2 2 2 2 2 2 2" xfId="3805" xr:uid="{FC7265A6-2625-4B01-A973-F07C007FDE2D}"/>
    <cellStyle name="Comma 2 2 2 2 2 2 2 2 2 2" xfId="7262" xr:uid="{1B806C8C-5020-404E-A5B3-07FF7ACBF3BF}"/>
    <cellStyle name="Comma 2 2 2 2 2 2 2 2 3" xfId="5523" xr:uid="{4740CA1A-8926-45E0-B34B-4440EEAE3535}"/>
    <cellStyle name="Comma 2 2 2 2 2 2 2 3" xfId="2958" xr:uid="{C0B3777A-76ED-4635-AF6D-46BE51F22113}"/>
    <cellStyle name="Comma 2 2 2 2 2 2 2 3 2" xfId="6393" xr:uid="{8DA6852A-1EE2-4016-AB4B-7397CEB7A38A}"/>
    <cellStyle name="Comma 2 2 2 2 2 2 2 4" xfId="4653" xr:uid="{8AC57453-EF3F-4F84-A571-E32250C51593}"/>
    <cellStyle name="Comma 2 2 2 2 2 2 3" xfId="1820" xr:uid="{9140D223-8489-4237-91F1-5C5EB00A1709}"/>
    <cellStyle name="Comma 2 2 2 2 2 2 3 2" xfId="2005" xr:uid="{3DC517C4-0B13-414A-B0CD-6AB0A48C1A97}"/>
    <cellStyle name="Comma 2 2 2 2 2 2 3 2 2" xfId="6827" xr:uid="{B3034225-DDEB-4942-8E61-97BB0FB9F4B1}"/>
    <cellStyle name="Comma 2 2 2 2 2 2 3 3" xfId="5088" xr:uid="{D997F595-AD77-4CC2-919D-677216161D25}"/>
    <cellStyle name="Comma 2 2 2 2 2 2 4" xfId="950" xr:uid="{5EDC457D-BD44-4144-BA65-14477686AA36}"/>
    <cellStyle name="Comma 2 2 2 2 2 2 4 2" xfId="5958" xr:uid="{C1C6EAFE-E174-4AB9-991F-D30041474E6D}"/>
    <cellStyle name="Comma 2 2 2 2 2 2 5" xfId="580" xr:uid="{1261094E-6C6B-4D95-A915-6FA7DD8E1053}"/>
    <cellStyle name="Comma 2 2 2 2 2 2 6" xfId="1969" xr:uid="{C1DBCDAB-DC6C-4B77-9D9D-DC490426F9CD}"/>
    <cellStyle name="Comma 2 2 2 2 2 3" xfId="1156" xr:uid="{D170DD1A-0E53-4776-8A6F-F389FF8CD5F3}"/>
    <cellStyle name="Comma 2 2 2 2 2 3 2" xfId="1973" xr:uid="{65EF4ECE-F949-4BB7-98D6-562C2D27B4CE}"/>
    <cellStyle name="Comma 2 2 2 2 2 3 2 2" xfId="3600" xr:uid="{3AD88A35-7E06-43B1-89E6-B9E9202CAD5C}"/>
    <cellStyle name="Comma 2 2 2 2 2 3 2 2 2" xfId="7055" xr:uid="{272D31FB-48A7-4A75-B3EC-39057B330509}"/>
    <cellStyle name="Comma 2 2 2 2 2 3 2 3" xfId="5316" xr:uid="{A5F2D588-89B2-4AAD-B481-1CA09A88C678}"/>
    <cellStyle name="Comma 2 2 2 2 2 3 3" xfId="2753" xr:uid="{F681E8FC-B6E0-460B-B3CF-897DFC16BB5E}"/>
    <cellStyle name="Comma 2 2 2 2 2 3 3 2" xfId="6186" xr:uid="{26A10603-59DB-4833-8629-6250ABC959CA}"/>
    <cellStyle name="Comma 2 2 2 2 2 3 4" xfId="4446" xr:uid="{5E6F31AA-E320-4789-B3C2-039F004E8948}"/>
    <cellStyle name="Comma 2 2 2 2 2 4" xfId="1630" xr:uid="{6E1B1A94-A06B-4A8A-8855-887EBD46D5D7}"/>
    <cellStyle name="Comma 2 2 2 2 2 4 2" xfId="1994" xr:uid="{AC9F2104-B858-4E08-978B-7D2ECAFC7E61}"/>
    <cellStyle name="Comma 2 2 2 2 2 4 2 2" xfId="6620" xr:uid="{06AF6B4B-C96E-450D-8F05-236E76E5C375}"/>
    <cellStyle name="Comma 2 2 2 2 2 4 3" xfId="4881" xr:uid="{1E1F64D0-5657-4A97-9335-0EAE1CF27E1F}"/>
    <cellStyle name="Comma 2 2 2 2 2 5" xfId="743" xr:uid="{695CB225-428A-4307-B010-24B09BD298B8}"/>
    <cellStyle name="Comma 2 2 2 2 2 5 2" xfId="2013" xr:uid="{FF79F06A-F2B3-4042-8504-6958861960A1}"/>
    <cellStyle name="Comma 2 2 2 2 2 5 2 2" xfId="5751" xr:uid="{A01D5AAC-E765-4072-AEC8-6F56F3A30831}"/>
    <cellStyle name="Comma 2 2 2 2 2 6" xfId="566" xr:uid="{EF716F2B-E5E8-44B8-A8A6-9D1DA5D05D93}"/>
    <cellStyle name="Comma 2 2 2 2 2 7" xfId="1955" xr:uid="{B5E00DF1-6D1C-4061-9D53-74C54D98231A}"/>
    <cellStyle name="Comma 2 2 2 2 3" xfId="410" xr:uid="{BD54933D-0FAE-4E38-8128-2F73ABF516F1}"/>
    <cellStyle name="Comma 2 2 2 2 3 2" xfId="1270" xr:uid="{98C28318-C789-418F-AF0B-47B9F60CC29A}"/>
    <cellStyle name="Comma 2 2 2 2 3 2 2" xfId="1978" xr:uid="{05B2BEC4-9CAA-46F6-8552-277BE8809477}"/>
    <cellStyle name="Comma 2 2 2 2 3 2 2 2" xfId="3712" xr:uid="{19B3FE22-FC4A-4C88-8BBC-4286F2C5CC62}"/>
    <cellStyle name="Comma 2 2 2 2 3 2 2 2 2" xfId="7169" xr:uid="{DE985A07-D58E-4AE9-B93C-16A1222E401B}"/>
    <cellStyle name="Comma 2 2 2 2 3 2 2 3" xfId="5430" xr:uid="{7F5FA6E6-0DC2-4953-887C-4D81D7D5AAF0}"/>
    <cellStyle name="Comma 2 2 2 2 3 2 3" xfId="2865" xr:uid="{B5F62389-04DD-47F4-BCA5-646F6ACC67CD}"/>
    <cellStyle name="Comma 2 2 2 2 3 2 3 2" xfId="6300" xr:uid="{167A82C2-3F16-461B-9AB4-3D5263EC55B6}"/>
    <cellStyle name="Comma 2 2 2 2 3 2 4" xfId="4560" xr:uid="{674004A2-B004-42B2-9847-8121D183693A}"/>
    <cellStyle name="Comma 2 2 2 2 3 3" xfId="1727" xr:uid="{121F3D5C-B323-4189-83FD-418E0AF8B491}"/>
    <cellStyle name="Comma 2 2 2 2 3 3 2" xfId="2000" xr:uid="{8A499CCA-D01B-4DDC-995A-4E77780580AA}"/>
    <cellStyle name="Comma 2 2 2 2 3 3 2 2" xfId="6734" xr:uid="{A854AD8F-33AA-4781-AFDD-AB4E0D621C7E}"/>
    <cellStyle name="Comma 2 2 2 2 3 3 3" xfId="4995" xr:uid="{E431B15D-96C3-4877-B57B-60FA304E5ADD}"/>
    <cellStyle name="Comma 2 2 2 2 3 4" xfId="857" xr:uid="{4973609B-ACFE-40D9-AB76-DBC61AE6863C}"/>
    <cellStyle name="Comma 2 2 2 2 3 4 2" xfId="5865" xr:uid="{05C45037-C477-4BF8-BC9D-0A159A94A141}"/>
    <cellStyle name="Comma 2 2 2 2 3 5" xfId="575" xr:uid="{53B74502-03C9-4562-BE4D-465B93CFB146}"/>
    <cellStyle name="Comma 2 2 2 2 3 6" xfId="1964" xr:uid="{5A1A1777-0CD3-44ED-BBBF-A20672DFC0E0}"/>
    <cellStyle name="Comma 2 2 2 2 4" xfId="1057" xr:uid="{422AEE1C-8D56-44EF-9C70-C7A9E5B12FD2}"/>
    <cellStyle name="Comma 2 2 2 2 4 2" xfId="1566" xr:uid="{11F27CEF-6431-4D71-9600-78B3418A732F}"/>
    <cellStyle name="Comma 2 2 2 2 4 2 2" xfId="1989" xr:uid="{44251A4A-A681-426D-B249-2DA282C70FF7}"/>
    <cellStyle name="Comma 2 2 2 2 4 2 2 2" xfId="6955" xr:uid="{040CD068-1935-4018-9F6C-454196E7AD92}"/>
    <cellStyle name="Comma 2 2 2 2 4 2 3" xfId="5216" xr:uid="{B7B7A549-1382-4F5A-8953-3F25BB740D32}"/>
    <cellStyle name="Comma 2 2 2 2 4 3" xfId="1947" xr:uid="{6A1392FD-A1B4-400C-A550-33D3449F3294}"/>
    <cellStyle name="Comma 2 2 2 2 4 3 2" xfId="6086" xr:uid="{138B5253-E798-4449-8F82-0FDFDF91EF16}"/>
    <cellStyle name="Comma 2 2 2 2 4 4" xfId="4347" xr:uid="{197C0686-9457-43A8-94E4-259ACF32B7DA}"/>
    <cellStyle name="Comma 2 2 2 2 5" xfId="1877" xr:uid="{C8F410E4-7A5B-40CA-A0AE-158745250DB2}"/>
    <cellStyle name="Comma 2 2 2 2 5 2" xfId="3086" xr:uid="{E02D7271-4E69-4DDB-97D9-B5304F30A259}"/>
    <cellStyle name="Comma 2 2 2 2 5 2 2" xfId="6521" xr:uid="{9D1C82B0-7478-40EA-913A-2090A42A2595}"/>
    <cellStyle name="Comma 2 2 2 2 5 3" xfId="4781" xr:uid="{A0E4FED7-5702-43F9-9A91-8F00F3F9FF8F}"/>
    <cellStyle name="Comma 2 2 2 2 6" xfId="1512" xr:uid="{1F46351B-AC9D-4A54-847B-644763787C23}"/>
    <cellStyle name="Comma 2 2 2 2 6 2" xfId="5651" xr:uid="{D9118C80-EF51-427F-8E52-79DED6ED97EC}"/>
    <cellStyle name="Comma 2 2 2 2 7" xfId="643" xr:uid="{7BACC73C-7C8C-44BD-A401-D55838EA2731}"/>
    <cellStyle name="Comma 2 2 2 2 8" xfId="558" xr:uid="{E781CEEA-32F3-4C2B-935E-EE87A877E99C}"/>
    <cellStyle name="Comma 2 2 2 3" xfId="264" xr:uid="{2A47C462-3B27-45EA-8FE7-424B347055DB}"/>
    <cellStyle name="Comma 2 2 2 3 2" xfId="473" xr:uid="{5B681B08-49B5-4622-91B9-9543DA0A1478}"/>
    <cellStyle name="Comma 2 2 2 3 2 2" xfId="1333" xr:uid="{8625960C-6806-41FE-8D8C-7427D4E211F5}"/>
    <cellStyle name="Comma 2 2 2 3 2 2 2" xfId="1981" xr:uid="{9A24DE2E-9306-417B-A866-AD4DB33B32A4}"/>
    <cellStyle name="Comma 2 2 2 3 2 2 2 2" xfId="3775" xr:uid="{FA60CB4E-AC26-4246-B5B7-23956C9493A6}"/>
    <cellStyle name="Comma 2 2 2 3 2 2 2 2 2" xfId="7232" xr:uid="{CBADC4CA-4034-45D5-8991-AE3C94E11752}"/>
    <cellStyle name="Comma 2 2 2 3 2 2 2 3" xfId="5493" xr:uid="{D6D07950-A3B4-4084-8241-9532563E0AB4}"/>
    <cellStyle name="Comma 2 2 2 3 2 2 3" xfId="2928" xr:uid="{EBB4EE99-756E-482A-ADAE-6EE494ECC6EB}"/>
    <cellStyle name="Comma 2 2 2 3 2 2 3 2" xfId="6363" xr:uid="{B690BC94-53DE-454B-814D-33C652E6FDB9}"/>
    <cellStyle name="Comma 2 2 2 3 2 2 4" xfId="4623" xr:uid="{81FE2296-791C-46F1-9BAA-CA0A637598D5}"/>
    <cellStyle name="Comma 2 2 2 3 2 3" xfId="1790" xr:uid="{12DA14E4-A39B-4008-B28C-8092B253BFB8}"/>
    <cellStyle name="Comma 2 2 2 3 2 3 2" xfId="2003" xr:uid="{8041E64D-C5A8-4721-9F89-C1A3BEEFDAC6}"/>
    <cellStyle name="Comma 2 2 2 3 2 3 2 2" xfId="6797" xr:uid="{182B110C-2A4A-4919-8D5E-273AFB977461}"/>
    <cellStyle name="Comma 2 2 2 3 2 3 3" xfId="5058" xr:uid="{F80889B7-574A-4E1D-A1D6-A6AEA9D0CDCE}"/>
    <cellStyle name="Comma 2 2 2 3 2 4" xfId="920" xr:uid="{7A10C20D-925D-429D-81ED-EEB974F8C510}"/>
    <cellStyle name="Comma 2 2 2 3 2 4 2" xfId="5928" xr:uid="{C5FE514C-5DB5-485E-951C-5F11F5B8C6DB}"/>
    <cellStyle name="Comma 2 2 2 3 2 5" xfId="578" xr:uid="{F084BCFE-6DAE-43DE-9697-34F3A2E7F470}"/>
    <cellStyle name="Comma 2 2 2 3 2 6" xfId="1967" xr:uid="{5980C364-39FE-4E6D-98A6-D440711646AE}"/>
    <cellStyle name="Comma 2 2 2 3 3" xfId="1126" xr:uid="{57C7423F-BA04-479E-856C-F27261E4EF8A}"/>
    <cellStyle name="Comma 2 2 2 3 3 2" xfId="1971" xr:uid="{58D3CBA5-4C09-47C0-8E6B-A0678C2E7A5C}"/>
    <cellStyle name="Comma 2 2 2 3 3 2 2" xfId="3570" xr:uid="{4B7C10E1-8DC6-4229-9E71-A9902CA52D85}"/>
    <cellStyle name="Comma 2 2 2 3 3 2 2 2" xfId="7025" xr:uid="{6444BECE-1D81-4B60-8CC5-FE5EFF18202B}"/>
    <cellStyle name="Comma 2 2 2 3 3 2 3" xfId="5286" xr:uid="{2173E044-4F33-41AF-8C9B-7246C45625F9}"/>
    <cellStyle name="Comma 2 2 2 3 3 3" xfId="2723" xr:uid="{3EA4AEC6-4652-4E57-9EAA-83DE571B9F6F}"/>
    <cellStyle name="Comma 2 2 2 3 3 3 2" xfId="6156" xr:uid="{7787D7BA-5353-4DA8-BDCB-8E4E9B6AAA7D}"/>
    <cellStyle name="Comma 2 2 2 3 3 4" xfId="4416" xr:uid="{2C51C417-37DF-45EC-926C-A2B8F0C4D391}"/>
    <cellStyle name="Comma 2 2 2 3 4" xfId="1600" xr:uid="{0F024C44-966E-4DF7-8A0E-44FB851DFF55}"/>
    <cellStyle name="Comma 2 2 2 3 4 2" xfId="1992" xr:uid="{B0E5FF16-C629-420E-919C-1255D222C965}"/>
    <cellStyle name="Comma 2 2 2 3 4 2 2" xfId="6590" xr:uid="{E2830A59-15A5-459B-84E5-52B550B815A8}"/>
    <cellStyle name="Comma 2 2 2 3 4 3" xfId="4851" xr:uid="{FBB42A3E-3EE5-4554-BDAA-7B0DD9C699AA}"/>
    <cellStyle name="Comma 2 2 2 3 5" xfId="713" xr:uid="{CD702371-E5F8-4C1A-88DF-2C1E46E37A09}"/>
    <cellStyle name="Comma 2 2 2 3 5 2" xfId="5721" xr:uid="{F5111B1A-0AFC-42DC-B750-9B2C26ABC69C}"/>
    <cellStyle name="Comma 2 2 2 3 6" xfId="564" xr:uid="{C90E9C8F-B6C6-47E8-88B8-3695EBB07E4D}"/>
    <cellStyle name="Comma 2 2 2 3 7" xfId="1953" xr:uid="{B726EC25-FCE7-4B8F-8497-CB30041EA160}"/>
    <cellStyle name="Comma 2 2 2 4" xfId="378" xr:uid="{B0EB2579-02B8-44B8-BA76-549833E11D27}"/>
    <cellStyle name="Comma 2 2 2 4 2" xfId="1240" xr:uid="{F8A54223-1B66-468B-8752-E1BEFF80A0AE}"/>
    <cellStyle name="Comma 2 2 2 4 2 2" xfId="1976" xr:uid="{60BC16FF-62D5-4066-ACB4-C8CA6806E91E}"/>
    <cellStyle name="Comma 2 2 2 4 2 2 2" xfId="3682" xr:uid="{3ECA8A35-6E61-415A-9E60-4A59F4D73F95}"/>
    <cellStyle name="Comma 2 2 2 4 2 2 2 2" xfId="7139" xr:uid="{5806123C-E423-4F17-8B9E-F08C954974ED}"/>
    <cellStyle name="Comma 2 2 2 4 2 2 3" xfId="5400" xr:uid="{FC61ED82-E023-4A97-B7BA-1E0635908916}"/>
    <cellStyle name="Comma 2 2 2 4 2 3" xfId="2835" xr:uid="{4F0FAF4D-B705-474E-A3A5-F4753347B9D0}"/>
    <cellStyle name="Comma 2 2 2 4 2 3 2" xfId="6270" xr:uid="{BB81580E-BDD0-4245-B7E1-B1145E07CA93}"/>
    <cellStyle name="Comma 2 2 2 4 2 4" xfId="4530" xr:uid="{C3FB2A9B-CD62-405A-AD14-404AC0D3ED08}"/>
    <cellStyle name="Comma 2 2 2 4 3" xfId="1696" xr:uid="{94976624-69E2-44C6-B490-E01A472015E8}"/>
    <cellStyle name="Comma 2 2 2 4 3 2" xfId="1998" xr:uid="{4DAE3DF1-A48C-42E0-908A-29F82F85AE1E}"/>
    <cellStyle name="Comma 2 2 2 4 3 2 2" xfId="6704" xr:uid="{4910A5F2-8875-42EE-8111-5EE645B6879D}"/>
    <cellStyle name="Comma 2 2 2 4 3 3" xfId="4965" xr:uid="{B6355DFC-40CA-4853-9E91-47DEDD6D1358}"/>
    <cellStyle name="Comma 2 2 2 4 4" xfId="827" xr:uid="{8E8489DE-C89D-4ED2-8182-9CD30DF205C6}"/>
    <cellStyle name="Comma 2 2 2 4 4 2" xfId="5835" xr:uid="{4B0C1DF0-58CF-4A4A-BDCE-A7DF83A08F81}"/>
    <cellStyle name="Comma 2 2 2 4 5" xfId="572" xr:uid="{828C9386-2EF3-4554-A052-DD23A98122AF}"/>
    <cellStyle name="Comma 2 2 2 4 6" xfId="1961" xr:uid="{15BAC6C6-E075-4AAF-A70C-175C21C879FB}"/>
    <cellStyle name="Comma 2 2 2 5" xfId="1027" xr:uid="{4E1F1A22-F864-45A9-9D0F-CF8BDB485272}"/>
    <cellStyle name="Comma 2 2 2 5 2" xfId="1563" xr:uid="{E5277D6D-1CCC-4651-B9F4-AA5D2019E53D}"/>
    <cellStyle name="Comma 2 2 2 5 2 2" xfId="1987" xr:uid="{7E644A10-656E-411C-939A-D71A224601A6}"/>
    <cellStyle name="Comma 2 2 2 5 2 2 2" xfId="6925" xr:uid="{F949F2F8-DDCE-4DA2-ABFA-CD703C9E60B2}"/>
    <cellStyle name="Comma 2 2 2 5 2 3" xfId="5186" xr:uid="{D7C2E805-A656-4143-97CE-446DA3B2562E}"/>
    <cellStyle name="Comma 2 2 2 5 3" xfId="1944" xr:uid="{831CEA1D-BEA5-4F6A-8766-BB7B7D4E1B63}"/>
    <cellStyle name="Comma 2 2 2 5 3 2" xfId="6056" xr:uid="{2AF71EA2-15D5-4DC6-8D14-D4A6F88A2D7C}"/>
    <cellStyle name="Comma 2 2 2 5 4" xfId="4317" xr:uid="{FEBF9776-C6FE-4D29-82D9-5A06FE72984A}"/>
    <cellStyle name="Comma 2 2 2 6" xfId="1874" xr:uid="{93DD769A-A8BC-43D2-A276-5D9A97E9D76C}"/>
    <cellStyle name="Comma 2 2 2 6 2" xfId="3056" xr:uid="{21A6CE3E-18E1-4841-B15A-B4749468785A}"/>
    <cellStyle name="Comma 2 2 2 6 2 2" xfId="6491" xr:uid="{2574234A-4ECC-4E00-95D2-DB4683261E8C}"/>
    <cellStyle name="Comma 2 2 2 6 3" xfId="4751" xr:uid="{34F51570-C2D4-4313-A130-20F0947CC5D3}"/>
    <cellStyle name="Comma 2 2 2 7" xfId="1481" xr:uid="{E1ED3AED-5C2A-4838-B46E-8F3915171A33}"/>
    <cellStyle name="Comma 2 2 2 7 2" xfId="5621" xr:uid="{03567A2B-616E-4209-92A2-DBABB961D938}"/>
    <cellStyle name="Comma 2 2 2 8" xfId="613" xr:uid="{5EB8C041-C6CC-41AD-8F70-FE90803924DE}"/>
    <cellStyle name="Comma 2 2 2 9" xfId="555" xr:uid="{18985400-350D-492E-8DDE-5BB779B2E78B}"/>
    <cellStyle name="Comma 2 2 3" xfId="202" xr:uid="{B078EB77-017D-4ECF-8DCA-1F57AACCF464}"/>
    <cellStyle name="Comma 2 2 3 2" xfId="1568" xr:uid="{5D77F538-F89D-4408-9F37-82C922EE42D8}"/>
    <cellStyle name="Comma 2 2 3 2 2" xfId="1949" xr:uid="{25A46475-B0D0-44CF-8F23-B060A09A6818}"/>
    <cellStyle name="Comma 2 2 3 3" xfId="1879" xr:uid="{22865E7F-62D2-4E73-940C-8F966242298B}"/>
    <cellStyle name="Comma 2 2 3 4" xfId="1515" xr:uid="{443CE752-9229-4D68-8F9B-E05611A18617}"/>
    <cellStyle name="Comma 2 2 3 5" xfId="560" xr:uid="{B50C680C-9848-4DE1-B6CF-0B70AF5E55A1}"/>
    <cellStyle name="Comma 2 2 4" xfId="182" xr:uid="{0D5B2F45-A9FB-4B53-B9F3-963E2DAD8E9A}"/>
    <cellStyle name="Comma 2 2 4 2" xfId="279" xr:uid="{BEDF7295-3F03-4331-AD6E-2247A89B8918}"/>
    <cellStyle name="Comma 2 2 4 2 2" xfId="488" xr:uid="{AA858C57-D64D-4CBC-8D32-F6515C612DC7}"/>
    <cellStyle name="Comma 2 2 4 2 2 2" xfId="1348" xr:uid="{7621929E-E732-49AF-B42C-B8F0997BE22A}"/>
    <cellStyle name="Comma 2 2 4 2 2 2 2" xfId="1982" xr:uid="{3CE1EB34-BD58-41F0-A6C7-BF4356DC34F3}"/>
    <cellStyle name="Comma 2 2 4 2 2 2 2 2" xfId="3790" xr:uid="{651BEE4E-1EA1-4970-843D-BA3C662972E7}"/>
    <cellStyle name="Comma 2 2 4 2 2 2 2 2 2" xfId="7247" xr:uid="{22AB5E91-0405-46C1-A101-3AB76AF8531B}"/>
    <cellStyle name="Comma 2 2 4 2 2 2 2 3" xfId="5508" xr:uid="{CECCE300-8F66-4D2D-8D18-626332950ECD}"/>
    <cellStyle name="Comma 2 2 4 2 2 2 3" xfId="2943" xr:uid="{0B665020-F550-42E5-B14B-DF18CD27B640}"/>
    <cellStyle name="Comma 2 2 4 2 2 2 3 2" xfId="6378" xr:uid="{6A5DCFF7-A2F3-4581-917E-5DEF6704D474}"/>
    <cellStyle name="Comma 2 2 4 2 2 2 4" xfId="4638" xr:uid="{86DD479E-394F-4DE0-A215-A5FB1993D3AC}"/>
    <cellStyle name="Comma 2 2 4 2 2 3" xfId="1805" xr:uid="{1CDF30CE-6772-40DA-817D-569F704D2A89}"/>
    <cellStyle name="Comma 2 2 4 2 2 3 2" xfId="2004" xr:uid="{2D237537-D7C4-412D-9AD7-D1492B267454}"/>
    <cellStyle name="Comma 2 2 4 2 2 3 2 2" xfId="6812" xr:uid="{24498AB0-010C-4550-96D6-EDB984E03706}"/>
    <cellStyle name="Comma 2 2 4 2 2 3 3" xfId="5073" xr:uid="{6BE6074E-313C-49E9-BE3A-48B8A023EF21}"/>
    <cellStyle name="Comma 2 2 4 2 2 4" xfId="935" xr:uid="{BE245C77-EE97-486A-93C7-C76FEB927DE1}"/>
    <cellStyle name="Comma 2 2 4 2 2 4 2" xfId="5943" xr:uid="{62DBE118-6984-45F4-B9DD-23D9CCB8B515}"/>
    <cellStyle name="Comma 2 2 4 2 2 5" xfId="579" xr:uid="{9CD621A6-3CAF-40C9-A49D-389D03A6BD86}"/>
    <cellStyle name="Comma 2 2 4 2 2 6" xfId="1968" xr:uid="{9F6113E7-DE39-49F2-88FE-6D65ECD31AF4}"/>
    <cellStyle name="Comma 2 2 4 2 3" xfId="1141" xr:uid="{88A2B2CA-5692-409D-B758-CC81D1C5697C}"/>
    <cellStyle name="Comma 2 2 4 2 3 2" xfId="1972" xr:uid="{8748D674-B108-41D7-AF3A-5B566C56F13F}"/>
    <cellStyle name="Comma 2 2 4 2 3 2 2" xfId="3585" xr:uid="{73DF81D9-52B8-434C-85BA-054887C8E2F0}"/>
    <cellStyle name="Comma 2 2 4 2 3 2 2 2" xfId="7040" xr:uid="{1E38B077-1A48-4AC7-ABF0-37C5AB58655D}"/>
    <cellStyle name="Comma 2 2 4 2 3 2 3" xfId="5301" xr:uid="{0C0BF34C-48E3-4F93-B396-97EFA05C3988}"/>
    <cellStyle name="Comma 2 2 4 2 3 3" xfId="2738" xr:uid="{4B249409-BC67-4CC5-87CE-ED32170683A1}"/>
    <cellStyle name="Comma 2 2 4 2 3 3 2" xfId="6171" xr:uid="{E733C85F-B30B-4799-9FC7-94C0AD0BD988}"/>
    <cellStyle name="Comma 2 2 4 2 3 4" xfId="4431" xr:uid="{BB1DA364-F2A3-49AC-8CD1-8691AB6BBF08}"/>
    <cellStyle name="Comma 2 2 4 2 4" xfId="1615" xr:uid="{F67F60E9-0BB4-4C7E-B1BA-0A016C18D993}"/>
    <cellStyle name="Comma 2 2 4 2 4 2" xfId="1993" xr:uid="{3DB3A53D-4E67-405C-9831-DCD63BE740D8}"/>
    <cellStyle name="Comma 2 2 4 2 4 2 2" xfId="6605" xr:uid="{FCBA8CD0-27E3-450D-850C-BA8244D4EE1B}"/>
    <cellStyle name="Comma 2 2 4 2 4 3" xfId="4866" xr:uid="{FFD7437A-D12B-444B-861F-73FAABD734CC}"/>
    <cellStyle name="Comma 2 2 4 2 5" xfId="728" xr:uid="{3E4D8253-C1B9-4634-A1D7-B231F1FA9D86}"/>
    <cellStyle name="Comma 2 2 4 2 5 2" xfId="5736" xr:uid="{E2933240-8303-4903-B0EA-4395CAD88508}"/>
    <cellStyle name="Comma 2 2 4 2 6" xfId="565" xr:uid="{E9B0D2BC-DCD6-4A17-9B2C-8ACEF2BE3A9F}"/>
    <cellStyle name="Comma 2 2 4 2 7" xfId="1954" xr:uid="{716597B2-31DF-4BA2-8D6D-5A3F1FABB27F}"/>
    <cellStyle name="Comma 2 2 4 3" xfId="395" xr:uid="{EA33D0D7-F7F8-433C-A9EB-0F802E6C9A5D}"/>
    <cellStyle name="Comma 2 2 4 3 2" xfId="1255" xr:uid="{EB239729-6FD4-44CF-929C-8FDEA0DA4847}"/>
    <cellStyle name="Comma 2 2 4 3 2 2" xfId="1977" xr:uid="{DA4F4AA4-07BF-4C12-82EB-DBC137CE4421}"/>
    <cellStyle name="Comma 2 2 4 3 2 2 2" xfId="3697" xr:uid="{07F71550-A87C-4983-9BFB-66F6317366D4}"/>
    <cellStyle name="Comma 2 2 4 3 2 2 2 2" xfId="7154" xr:uid="{A281AD28-BD6E-48D4-8954-74EF6140DF5A}"/>
    <cellStyle name="Comma 2 2 4 3 2 2 3" xfId="5415" xr:uid="{FC976266-BBD6-41E3-92EF-0AAA0A78B4B5}"/>
    <cellStyle name="Comma 2 2 4 3 2 3" xfId="2850" xr:uid="{ADAA68BD-BD07-4F4F-A803-E975E6605AAB}"/>
    <cellStyle name="Comma 2 2 4 3 2 3 2" xfId="6285" xr:uid="{CBFAA3E8-B938-400F-8C0C-2336CAF3278A}"/>
    <cellStyle name="Comma 2 2 4 3 2 4" xfId="4545" xr:uid="{B7981B08-25A2-406F-B34F-867CF451CA3A}"/>
    <cellStyle name="Comma 2 2 4 3 3" xfId="1712" xr:uid="{2AD459F4-F013-4FFA-BB8E-93F31875475F}"/>
    <cellStyle name="Comma 2 2 4 3 3 2" xfId="1999" xr:uid="{BD4EF01F-BCC7-4B9A-BF9F-1F10C65B4770}"/>
    <cellStyle name="Comma 2 2 4 3 3 2 2" xfId="6719" xr:uid="{233D7080-3359-42B1-A375-879EF49EED7A}"/>
    <cellStyle name="Comma 2 2 4 3 3 3" xfId="4980" xr:uid="{19258464-5604-4562-9F4A-54551FFA2839}"/>
    <cellStyle name="Comma 2 2 4 3 4" xfId="842" xr:uid="{2A8F6FA2-07D4-498E-BD07-8CD25D84D181}"/>
    <cellStyle name="Comma 2 2 4 3 4 2" xfId="5850" xr:uid="{92806DA5-7562-4F77-A6AF-0FF314857939}"/>
    <cellStyle name="Comma 2 2 4 3 5" xfId="574" xr:uid="{AAD1E1AC-6260-47F7-A489-64745F88E6B1}"/>
    <cellStyle name="Comma 2 2 4 3 6" xfId="1963" xr:uid="{A3BA6545-1985-40A6-A949-19D037E7BE33}"/>
    <cellStyle name="Comma 2 2 4 4" xfId="1042" xr:uid="{28177D99-9786-4B33-B557-2F98A8C399C2}"/>
    <cellStyle name="Comma 2 2 4 4 2" xfId="1565" xr:uid="{99F68B1F-6589-4CC7-9076-58ABA8122EDB}"/>
    <cellStyle name="Comma 2 2 4 4 2 2" xfId="1988" xr:uid="{82BF62B7-B675-4F6D-BA5C-E14FE24389C0}"/>
    <cellStyle name="Comma 2 2 4 4 2 2 2" xfId="6940" xr:uid="{42EAC33A-745E-44F2-A5C5-5572DD01DD9A}"/>
    <cellStyle name="Comma 2 2 4 4 2 3" xfId="5201" xr:uid="{341088DA-F045-4544-BF93-DF40F98D127E}"/>
    <cellStyle name="Comma 2 2 4 4 3" xfId="1946" xr:uid="{758D2C07-297F-4196-A467-7819B27B0E7C}"/>
    <cellStyle name="Comma 2 2 4 4 3 2" xfId="6071" xr:uid="{64F76A02-5824-4A84-B1D5-3D8F2BD88B0F}"/>
    <cellStyle name="Comma 2 2 4 4 4" xfId="4332" xr:uid="{E73F0FF6-3373-41AF-887E-CAC6104A4847}"/>
    <cellStyle name="Comma 2 2 4 5" xfId="1876" xr:uid="{83580B7A-EBD4-4C57-855F-6281610C076E}"/>
    <cellStyle name="Comma 2 2 4 5 2" xfId="3071" xr:uid="{1B65DDCE-0868-411C-9991-9631706ED9A2}"/>
    <cellStyle name="Comma 2 2 4 5 2 2" xfId="6506" xr:uid="{4BE8BFE2-54E4-4F1C-93EF-3048CDFD7926}"/>
    <cellStyle name="Comma 2 2 4 5 3" xfId="4766" xr:uid="{59E4E5A9-AC02-4B38-AA82-D5DE2CBEA8EF}"/>
    <cellStyle name="Comma 2 2 4 6" xfId="1497" xr:uid="{EBF9497C-7BF3-4F94-9155-5B4D4C524371}"/>
    <cellStyle name="Comma 2 2 4 6 2" xfId="5636" xr:uid="{A1BD0AC8-4664-45FC-A90B-B765D9613D23}"/>
    <cellStyle name="Comma 2 2 4 7" xfId="628" xr:uid="{F7962970-0C81-4DF1-BA30-BD9171008954}"/>
    <cellStyle name="Comma 2 2 4 8" xfId="557" xr:uid="{45471587-FF2A-4AD3-9A1E-7C5FCD863D8F}"/>
    <cellStyle name="Comma 2 2 5" xfId="249" xr:uid="{3F54A206-32D8-44B0-A37A-006DABC5AC0D}"/>
    <cellStyle name="Comma 2 2 5 2" xfId="458" xr:uid="{5A71B10C-5380-42A6-A59F-70DDB5FC5752}"/>
    <cellStyle name="Comma 2 2 5 2 2" xfId="1318" xr:uid="{EA319835-668B-42B0-8198-5720E6D2FB03}"/>
    <cellStyle name="Comma 2 2 5 2 2 2" xfId="1980" xr:uid="{075D5441-F0B3-4584-BEEF-AFBDE4104483}"/>
    <cellStyle name="Comma 2 2 5 2 2 2 2" xfId="3760" xr:uid="{B9135A9E-B07B-4FFF-A664-8232E9213D0F}"/>
    <cellStyle name="Comma 2 2 5 2 2 2 2 2" xfId="7217" xr:uid="{81A1DAD7-C4DE-4EA8-9FBB-62D91503B128}"/>
    <cellStyle name="Comma 2 2 5 2 2 2 3" xfId="5478" xr:uid="{20917C8A-E459-424E-98D3-FFC8290F2099}"/>
    <cellStyle name="Comma 2 2 5 2 2 3" xfId="2913" xr:uid="{71B6FA20-9BCD-45D1-9FC4-61393252835A}"/>
    <cellStyle name="Comma 2 2 5 2 2 3 2" xfId="6348" xr:uid="{501C9D07-988E-4C0A-893C-4687EFDAB183}"/>
    <cellStyle name="Comma 2 2 5 2 2 4" xfId="4608" xr:uid="{811EA714-889F-4AD8-83FA-7153C1D597DB}"/>
    <cellStyle name="Comma 2 2 5 2 3" xfId="1775" xr:uid="{5F50322C-F1CC-445C-99F4-BFEE7E229479}"/>
    <cellStyle name="Comma 2 2 5 2 3 2" xfId="2002" xr:uid="{A9CD62C7-1ED6-4F94-BF3C-803BA5A798AB}"/>
    <cellStyle name="Comma 2 2 5 2 3 2 2" xfId="6782" xr:uid="{16E549FC-2896-4DB9-A8D9-870B1E1B29DD}"/>
    <cellStyle name="Comma 2 2 5 2 3 3" xfId="5043" xr:uid="{7C9488B2-2AD9-4A5B-A058-2F8686A1AC56}"/>
    <cellStyle name="Comma 2 2 5 2 4" xfId="905" xr:uid="{3B0CB3C4-D1F8-468B-95B2-06B925E183FF}"/>
    <cellStyle name="Comma 2 2 5 2 4 2" xfId="5913" xr:uid="{848C1EC7-F601-47BA-BF22-EFD4C4F1CDEF}"/>
    <cellStyle name="Comma 2 2 5 2 5" xfId="577" xr:uid="{0545C0A8-8A1E-4648-90F5-1ECF6D6E363B}"/>
    <cellStyle name="Comma 2 2 5 2 6" xfId="1966" xr:uid="{6BB4846A-F7A9-4DD0-B8B6-C572F58F0B0D}"/>
    <cellStyle name="Comma 2 2 5 3" xfId="1111" xr:uid="{7013B31F-035A-4CB3-944E-548547D2D9C5}"/>
    <cellStyle name="Comma 2 2 5 3 2" xfId="1585" xr:uid="{91BDE13F-1F9E-4B68-9DC7-CBAB04B0A207}"/>
    <cellStyle name="Comma 2 2 5 3 2 2" xfId="1991" xr:uid="{84982A72-3618-4DDA-9700-44D627B5A5E1}"/>
    <cellStyle name="Comma 2 2 5 3 2 2 2" xfId="7010" xr:uid="{D8A50D48-551F-4123-851E-57CB82E8C451}"/>
    <cellStyle name="Comma 2 2 5 3 2 3" xfId="5271" xr:uid="{E800E4A3-A57F-4D29-9DF9-1B1F1AA7B3BB}"/>
    <cellStyle name="Comma 2 2 5 3 3" xfId="1952" xr:uid="{991E3B16-4CD1-44E4-804E-F54A42189F43}"/>
    <cellStyle name="Comma 2 2 5 3 3 2" xfId="6141" xr:uid="{8296FF0E-3EFB-42BF-9FFA-16E3609B9C59}"/>
    <cellStyle name="Comma 2 2 5 3 4" xfId="4401" xr:uid="{0E8BE605-243D-43DA-90CE-C6C9514FC1C1}"/>
    <cellStyle name="Comma 2 2 5 4" xfId="1873" xr:uid="{B9A259AD-D33B-45AF-9DB6-EACF5F4158EC}"/>
    <cellStyle name="Comma 2 2 5 4 2" xfId="3139" xr:uid="{D602A237-145F-4DDD-B80B-926EA8D104B4}"/>
    <cellStyle name="Comma 2 2 5 4 2 2" xfId="6575" xr:uid="{EFB1D410-3438-4ED4-8E6C-80007F08542C}"/>
    <cellStyle name="Comma 2 2 5 4 3" xfId="4836" xr:uid="{99D86999-9649-424A-83ED-03C97A3516F6}"/>
    <cellStyle name="Comma 2 2 5 5" xfId="1466" xr:uid="{970F4B35-E530-4666-AC28-F0D1FE1DD023}"/>
    <cellStyle name="Comma 2 2 5 5 2" xfId="5706" xr:uid="{047C1CC9-94CB-4D8D-825B-C3B4FC8FF470}"/>
    <cellStyle name="Comma 2 2 5 6" xfId="698" xr:uid="{3CD4F6F4-06CE-4191-B193-1D1ACCAACD26}"/>
    <cellStyle name="Comma 2 2 5 7" xfId="563" xr:uid="{BBAF0522-81A3-4485-BD59-40B3DCD6E8E7}"/>
    <cellStyle name="Comma 2 2 6" xfId="363" xr:uid="{A37C7609-BBD1-4DC8-9D73-DF4246A2B04A}"/>
    <cellStyle name="Comma 2 2 6 2" xfId="1225" xr:uid="{E73B966A-9D23-4EE7-996B-197599343720}"/>
    <cellStyle name="Comma 2 2 6 2 2" xfId="1681" xr:uid="{3ADB5B44-8591-4549-9C0C-60CC2C74D715}"/>
    <cellStyle name="Comma 2 2 6 2 2 2" xfId="1997" xr:uid="{6E9061BA-FCAA-4F2E-9286-7696067E13D4}"/>
    <cellStyle name="Comma 2 2 6 2 2 2 2" xfId="7124" xr:uid="{41BFF313-7888-44C6-9154-9D63C122D9C8}"/>
    <cellStyle name="Comma 2 2 6 2 2 3" xfId="5385" xr:uid="{46AD3D26-4049-4E88-8FD7-FC2E411E8AC2}"/>
    <cellStyle name="Comma 2 2 6 2 3" xfId="1960" xr:uid="{CF870B31-D9DC-4941-8AF8-3FBA17C50F0A}"/>
    <cellStyle name="Comma 2 2 6 2 3 2" xfId="6255" xr:uid="{58D23507-A89D-424F-9FBA-0F56694D29BF}"/>
    <cellStyle name="Comma 2 2 6 2 4" xfId="4515" xr:uid="{6C9D8BA1-F7C9-4597-9ED8-501531692DF7}"/>
    <cellStyle name="Comma 2 2 6 3" xfId="1897" xr:uid="{7BEF9F41-B378-4C2C-BD10-5350BBF13E5D}"/>
    <cellStyle name="Comma 2 2 6 3 2" xfId="2035" xr:uid="{C2668EDC-9DD5-465F-BA79-A3AD2985F5A6}"/>
    <cellStyle name="Comma 2 2 6 3 2 2" xfId="2040" xr:uid="{F70DE2E7-2F4B-40BA-9724-4E2F4DEBFD66}"/>
    <cellStyle name="Comma 2 2 6 3 2 3" xfId="6689" xr:uid="{E1A02970-A155-4C74-B741-597E7F40E936}"/>
    <cellStyle name="Comma 2 2 6 3 2 4" xfId="3249" xr:uid="{E2F3F6D0-32DC-443F-BCA2-2BD2C5D1A011}"/>
    <cellStyle name="Comma 2 2 6 3 3" xfId="4950" xr:uid="{E82B4C9D-6D0B-4BFE-92B1-DFBB894ECADC}"/>
    <cellStyle name="Comma 2 2 6 3 4" xfId="2151" xr:uid="{3DE78894-2331-4852-AE4B-EDE2DFA02C51}"/>
    <cellStyle name="Comma 2 2 6 4" xfId="1556" xr:uid="{C11B8D0F-42FC-4046-88FC-CEACCC12B557}"/>
    <cellStyle name="Comma 2 2 6 4 2" xfId="5820" xr:uid="{27F6FF3F-94F0-408D-886B-940C02D3AD18}"/>
    <cellStyle name="Comma 2 2 6 4 3" xfId="2576" xr:uid="{4ABBA4D0-CBE0-4202-B314-A2D4FF9913C9}"/>
    <cellStyle name="Comma 2 2 6 5" xfId="812" xr:uid="{F534107B-7427-4DB6-9F2E-3531A0E23C9C}"/>
    <cellStyle name="Comma 2 2 6 6" xfId="571" xr:uid="{7AD72330-C1D3-420E-8D76-29FCA041F4E2}"/>
    <cellStyle name="Comma 2 2 7" xfId="340" xr:uid="{7A3C03C4-9708-469A-ADBE-A2BF16D2782C}"/>
    <cellStyle name="Comma 2 2 8" xfId="148" xr:uid="{AEA5DDF5-6262-4082-A2A4-547867E58657}"/>
    <cellStyle name="Comma 2 2 8 2" xfId="1562" xr:uid="{B9F7BF12-D7EE-47CB-8D7B-385FC8565F9F}"/>
    <cellStyle name="Comma 2 2 8 2 2" xfId="1986" xr:uid="{511795EB-6DAE-4ABC-A910-3A2D28DBCED2}"/>
    <cellStyle name="Comma 2 2 8 2 2 2" xfId="6910" xr:uid="{CEF8B7FE-7080-4AC5-A7D2-139EA0C49D20}"/>
    <cellStyle name="Comma 2 2 8 2 3" xfId="5171" xr:uid="{242CAD14-BA8C-4F46-B2D1-F471A355CC9A}"/>
    <cellStyle name="Comma 2 2 8 3" xfId="1012" xr:uid="{B7DE25C6-21A3-4899-83AC-3B0AD4FDB755}"/>
    <cellStyle name="Comma 2 2 8 3 2" xfId="6041" xr:uid="{9FFE46E6-B7D7-40B3-8F71-E8791FE08D86}"/>
    <cellStyle name="Comma 2 2 8 4" xfId="1943" xr:uid="{B744A252-3599-4F08-A21F-0CCBCD0446B6}"/>
    <cellStyle name="Comma 2 2 9" xfId="1868" xr:uid="{6DF3FD0F-483D-4B6F-95C0-59F404B3E915}"/>
    <cellStyle name="Comma 2 2 9 2" xfId="3041" xr:uid="{850B6D41-F5C2-4A22-A442-5389111A58CB}"/>
    <cellStyle name="Comma 2 2 9 2 2" xfId="6476" xr:uid="{D163D092-21CD-47DF-BF81-6DC9D0EF9401}"/>
    <cellStyle name="Comma 2 2 9 3" xfId="4736" xr:uid="{E4A381C7-2633-46CE-9FFB-674763E75C6F}"/>
    <cellStyle name="Comma 2 2 9 4" xfId="2143" xr:uid="{D1C3B4E9-CBAB-4729-B20E-18B98BF66FAC}"/>
    <cellStyle name="Comma 2 3" xfId="99" xr:uid="{8C4A2F6F-DE84-4959-9E08-F201EA1012F7}"/>
    <cellStyle name="Comma 2 3 2" xfId="109" xr:uid="{B634FACB-F2D5-4B19-B018-4995083EC6BC}"/>
    <cellStyle name="Comma 2 3 2 2" xfId="217" xr:uid="{E3A86EC0-6B25-465F-9B4A-8B34968DBFB6}"/>
    <cellStyle name="Comma 2 3 2 2 2" xfId="1887" xr:uid="{F0BB034B-302E-4B41-9176-53B8E3462E79}"/>
    <cellStyle name="Comma 2 3 2 2 3" xfId="1532" xr:uid="{F11FF015-F068-4F73-9E9D-7932A881633F}"/>
    <cellStyle name="Comma 2 3 2 3" xfId="140" xr:uid="{2EC82EBC-213A-4743-9848-9FDE8DEE6FFB}"/>
    <cellStyle name="Comma 2 3 3" xfId="299" xr:uid="{E7AE12A2-2934-473B-982F-EA4FC4DD7EC9}"/>
    <cellStyle name="Comma 2 3 3 2" xfId="508" xr:uid="{89B2A977-EB7A-4DCA-AEFB-9BFDD5708884}"/>
    <cellStyle name="Comma 2 3 3 2 2" xfId="1368" xr:uid="{8AE5B1E9-610F-49A5-B63B-6D6EECDDBB19}"/>
    <cellStyle name="Comma 2 3 3 2 2 2" xfId="2505" xr:uid="{445AC6A5-F874-4AE4-9464-45FABF457726}"/>
    <cellStyle name="Comma 2 3 3 2 2 2 2" xfId="3810" xr:uid="{7027DD42-A8F6-4EFC-8D8A-30D17DC10C9F}"/>
    <cellStyle name="Comma 2 3 3 2 2 2 2 2" xfId="7267" xr:uid="{4D00A698-E418-42DF-841B-594B743DCC40}"/>
    <cellStyle name="Comma 2 3 3 2 2 2 3" xfId="5528" xr:uid="{89E13CBD-A3B3-4EEE-AC78-9A5015F8D016}"/>
    <cellStyle name="Comma 2 3 3 2 2 3" xfId="2963" xr:uid="{F758EDC2-74ED-418D-B15B-B57313CBBE16}"/>
    <cellStyle name="Comma 2 3 3 2 2 3 2" xfId="6398" xr:uid="{FE194E1A-4C3C-462F-8F57-4CEC81770CF1}"/>
    <cellStyle name="Comma 2 3 3 2 2 4" xfId="4658" xr:uid="{889346A5-97AC-44FE-B003-8E0C4652F04D}"/>
    <cellStyle name="Comma 2 3 3 2 3" xfId="1825" xr:uid="{E92656F9-E052-4A4F-885C-C42F5D45CC44}"/>
    <cellStyle name="Comma 2 3 3 2 3 2" xfId="3384" xr:uid="{E958DC2D-46E0-454D-99FF-41B63D9CBB1F}"/>
    <cellStyle name="Comma 2 3 3 2 3 2 2" xfId="6832" xr:uid="{22E47138-03E0-4632-A5CB-F78DD4B9CA49}"/>
    <cellStyle name="Comma 2 3 3 2 3 3" xfId="5093" xr:uid="{4ABF569C-6C3E-4A97-B192-128EF44243FE}"/>
    <cellStyle name="Comma 2 3 3 2 4" xfId="955" xr:uid="{A5A861EF-9427-4E28-A7A6-C36BC5497755}"/>
    <cellStyle name="Comma 2 3 3 2 4 2" xfId="5963" xr:uid="{FDEBEC8B-9DB7-4342-A412-636725A85EA1}"/>
    <cellStyle name="Comma 2 3 3 2 5" xfId="4226" xr:uid="{9C502A7F-D53B-44CF-BF4D-678301D2E328}"/>
    <cellStyle name="Comma 2 3 3 3" xfId="1161" xr:uid="{BB2A1D1C-C7B3-41E7-86A7-0E5AB4831204}"/>
    <cellStyle name="Comma 2 3 3 3 2" xfId="1882" xr:uid="{DE95DE8D-88A3-4B6D-AB48-9EE1B2C024D6}"/>
    <cellStyle name="Comma 2 3 3 3 2 2" xfId="3605" xr:uid="{0FF439D0-5803-4A30-B5CC-FAD89A71B9AB}"/>
    <cellStyle name="Comma 2 3 3 3 2 2 2" xfId="7060" xr:uid="{F0B4494E-92A8-4E20-A274-5FDC6B3DBC1D}"/>
    <cellStyle name="Comma 2 3 3 3 2 3" xfId="5321" xr:uid="{1058EEE8-5C25-427B-86F7-5D41EB51F960}"/>
    <cellStyle name="Comma 2 3 3 3 3" xfId="2758" xr:uid="{0AA3F33F-7C9D-4370-BC19-61812737C2C9}"/>
    <cellStyle name="Comma 2 3 3 3 3 2" xfId="6191" xr:uid="{B3298E51-C143-4D16-B9D1-EC51FFA4217D}"/>
    <cellStyle name="Comma 2 3 3 3 4" xfId="4451" xr:uid="{C408272B-9D15-4407-86C5-03B725A775F4}"/>
    <cellStyle name="Comma 2 3 3 4" xfId="1521" xr:uid="{66B42052-25A5-49E3-A029-65C24A289ADE}"/>
    <cellStyle name="Comma 2 3 3 4 2" xfId="3186" xr:uid="{21685099-9D31-4CAF-8D8A-2DB5FE325556}"/>
    <cellStyle name="Comma 2 3 3 4 2 2" xfId="6625" xr:uid="{975E60BE-002A-4715-971E-C56B2D8C5018}"/>
    <cellStyle name="Comma 2 3 3 4 3" xfId="4886" xr:uid="{CF58947B-3A1F-4A3B-A51D-EE5D109D5891}"/>
    <cellStyle name="Comma 2 3 3 5" xfId="748" xr:uid="{1F1E944F-AF80-4098-A6A8-60A8EB41601B}"/>
    <cellStyle name="Comma 2 3 3 5 2" xfId="5756" xr:uid="{9A5078AC-7BA4-4A10-B48C-E847DA7CAAC7}"/>
    <cellStyle name="Comma 2 3 3 6" xfId="4030" xr:uid="{2B474506-0E65-4933-A5ED-F74543806490}"/>
    <cellStyle name="Comma 2 3 4" xfId="412" xr:uid="{BA0FF335-393D-4325-9E3F-30C0685A5968}"/>
    <cellStyle name="Comma 2 3 4 2" xfId="1272" xr:uid="{D4405DD3-C8F9-47BE-BD48-1ED7494F2CAC}"/>
    <cellStyle name="Comma 2 3 4 2 2" xfId="2414" xr:uid="{5F8F69B4-4279-4FF6-B96F-73437A57809D}"/>
    <cellStyle name="Comma 2 3 4 2 2 2" xfId="3714" xr:uid="{6C4F01EC-25BC-41AD-BA73-3EF2EC29A5A1}"/>
    <cellStyle name="Comma 2 3 4 2 2 2 2" xfId="7171" xr:uid="{6AB2B093-5AB2-4ABA-B918-5F6EF321F0BF}"/>
    <cellStyle name="Comma 2 3 4 2 2 3" xfId="5432" xr:uid="{B3E48283-9BB9-4AE1-A038-4429903D9098}"/>
    <cellStyle name="Comma 2 3 4 2 3" xfId="2867" xr:uid="{62701EB6-91AE-40BE-96DE-71DB434048DF}"/>
    <cellStyle name="Comma 2 3 4 2 3 2" xfId="6302" xr:uid="{7834C58C-4C41-4281-8321-6C8AB492ABE7}"/>
    <cellStyle name="Comma 2 3 4 2 4" xfId="4562" xr:uid="{A835CB17-D3F2-4A34-AA30-8F0F96EDE7D7}"/>
    <cellStyle name="Comma 2 3 4 3" xfId="1729" xr:uid="{AB3DD6EA-E085-474B-B2E6-DD6E5DB40F44}"/>
    <cellStyle name="Comma 2 3 4 3 2" xfId="3293" xr:uid="{D52B38A9-2265-4C77-ACB6-F4D25E3BB58A}"/>
    <cellStyle name="Comma 2 3 4 3 2 2" xfId="6736" xr:uid="{756129EE-0916-4AE7-989D-7B504EB74A80}"/>
    <cellStyle name="Comma 2 3 4 3 3" xfId="4997" xr:uid="{CE4D302E-EA93-4C80-9253-4A33CEA0325C}"/>
    <cellStyle name="Comma 2 3 4 4" xfId="859" xr:uid="{5A22FAEB-A6E9-4148-9C1E-8B13A26C5C76}"/>
    <cellStyle name="Comma 2 3 4 4 2" xfId="5867" xr:uid="{3CC69B59-7C87-4886-80EC-415107377FAF}"/>
    <cellStyle name="Comma 2 3 4 5" xfId="4135" xr:uid="{F2B33064-C638-4857-9397-532474E615C6}"/>
    <cellStyle name="Comma 2 3 5" xfId="206" xr:uid="{1E56A1EC-6A04-44D0-ACAE-D74920D160D2}"/>
    <cellStyle name="Comma 2 3 5 2" xfId="2233" xr:uid="{80D0F8A0-5CCF-4357-87B5-0506B9FBEA6F}"/>
    <cellStyle name="Comma 2 3 5 2 2" xfId="3507" xr:uid="{92C82148-19A4-43E5-9967-AA018F10896C}"/>
    <cellStyle name="Comma 2 3 5 2 2 2" xfId="6960" xr:uid="{AD8F7041-E03E-46D1-AB18-9EF4BC82B538}"/>
    <cellStyle name="Comma 2 3 5 2 3" xfId="5221" xr:uid="{13CC7515-A38E-4DF9-8031-F8226113F38E}"/>
    <cellStyle name="Comma 2 3 5 3" xfId="2663" xr:uid="{5E3A57E9-2E33-42E2-993F-F321D50B0FAD}"/>
    <cellStyle name="Comma 2 3 5 3 2" xfId="6091" xr:uid="{8F35B368-1A0A-44D4-BE22-8730AD41C0B1}"/>
    <cellStyle name="Comma 2 3 5 4" xfId="4352" xr:uid="{83CA55A2-8B8F-46DB-BD24-C0BA5241C6AC}"/>
    <cellStyle name="Comma 2 3 6" xfId="1419" xr:uid="{FBA70326-43BB-455B-9DC1-740C675D65A8}"/>
    <cellStyle name="Comma 2 3 6 2" xfId="3091" xr:uid="{896DF047-7F74-43CA-AE82-9FA6CA590030}"/>
    <cellStyle name="Comma 2 3 6 2 2" xfId="6526" xr:uid="{00406075-8E95-4012-9559-0DC95B574E87}"/>
    <cellStyle name="Comma 2 3 6 3" xfId="4786" xr:uid="{E8C1D294-231D-4F52-B3BE-9FE3E16EEA41}"/>
    <cellStyle name="Comma 2 3 6 4" xfId="2145" xr:uid="{34BB1B47-C31A-418D-8C3C-9E416C68112C}"/>
    <cellStyle name="Comma 2 3 7" xfId="648" xr:uid="{3422B256-D31C-4C9D-9D23-F99A62526531}"/>
    <cellStyle name="Comma 2 3 7 2" xfId="5656" xr:uid="{53172AE6-D66A-44DD-98D7-9F5FEB00AD6A}"/>
    <cellStyle name="Comma 2 3 8" xfId="139" xr:uid="{5FD15229-123D-4B6D-9A4A-4053409CF774}"/>
    <cellStyle name="Comma 2 3 8 2" xfId="3938" xr:uid="{79AAB5F2-1E49-4AC0-93DF-62F57A043916}"/>
    <cellStyle name="Comma 2 4" xfId="224" xr:uid="{FF1B0C17-07C5-4C92-9CE7-717A11A31134}"/>
    <cellStyle name="Comma 2 4 2" xfId="319" xr:uid="{AB05E960-F680-433D-ADF4-11F371E5B067}"/>
    <cellStyle name="Comma 2 4 2 2" xfId="529" xr:uid="{E917A074-D11A-4A01-B7FF-01A7AFAE5909}"/>
    <cellStyle name="Comma 2 4 2 2 2" xfId="1389" xr:uid="{B1D00FA2-224F-44D7-BB20-EE743BD09F8A}"/>
    <cellStyle name="Comma 2 4 2 2 2 2" xfId="2525" xr:uid="{99AAAE80-5671-43C9-A4AA-B2268E08F12A}"/>
    <cellStyle name="Comma 2 4 2 2 2 2 2" xfId="3831" xr:uid="{033EE8D5-51AC-4CCB-A04E-956BED72661A}"/>
    <cellStyle name="Comma 2 4 2 2 2 2 2 2" xfId="7288" xr:uid="{5833C2F9-DABA-44E7-B2D8-4CEA11B58463}"/>
    <cellStyle name="Comma 2 4 2 2 2 2 3" xfId="5549" xr:uid="{0591F230-8685-48CD-AA71-06EEFB061637}"/>
    <cellStyle name="Comma 2 4 2 2 2 3" xfId="2984" xr:uid="{0EFE8866-BA24-4E34-866D-74F2C96F1922}"/>
    <cellStyle name="Comma 2 4 2 2 2 3 2" xfId="6419" xr:uid="{E0793838-AFF8-4EEB-9729-9E93DC8BA55A}"/>
    <cellStyle name="Comma 2 4 2 2 2 4" xfId="4679" xr:uid="{407DF0DB-E520-4E75-B9A4-000F0A0C8573}"/>
    <cellStyle name="Comma 2 4 2 2 3" xfId="1846" xr:uid="{4A4FFD74-5EBB-456F-9102-20C9099D1BB1}"/>
    <cellStyle name="Comma 2 4 2 2 3 2" xfId="3404" xr:uid="{68BBC146-F873-45FA-97F4-E6BE5C203B00}"/>
    <cellStyle name="Comma 2 4 2 2 3 2 2" xfId="6853" xr:uid="{102D7234-D9D9-4DDE-846A-15D640537155}"/>
    <cellStyle name="Comma 2 4 2 2 3 3" xfId="5114" xr:uid="{12646745-B6AD-469E-881D-A0C6CEBCFDDF}"/>
    <cellStyle name="Comma 2 4 2 2 4" xfId="976" xr:uid="{831FB343-B966-46DA-AEC4-34F4ACA84696}"/>
    <cellStyle name="Comma 2 4 2 2 4 2" xfId="5984" xr:uid="{11AC74AA-EBB3-4648-9A65-9A34ED67A479}"/>
    <cellStyle name="Comma 2 4 2 2 5" xfId="4246" xr:uid="{3F30F2E7-9E97-4280-BACE-C7E4099FE507}"/>
    <cellStyle name="Comma 2 4 2 3" xfId="1182" xr:uid="{3758332E-2B56-45B4-A48E-B0DF82998FD3}"/>
    <cellStyle name="Comma 2 4 2 3 2" xfId="1891" xr:uid="{BB8671D7-E383-409C-A977-DB85D8895AD5}"/>
    <cellStyle name="Comma 2 4 2 3 2 2" xfId="3626" xr:uid="{18741286-5D85-4AE3-96BE-87411DB57DC2}"/>
    <cellStyle name="Comma 2 4 2 3 2 2 2" xfId="7081" xr:uid="{4BA9A774-25BE-4EC9-AF69-D1E75307C459}"/>
    <cellStyle name="Comma 2 4 2 3 2 3" xfId="5342" xr:uid="{81CD2007-F74D-4619-9923-22C051409D94}"/>
    <cellStyle name="Comma 2 4 2 3 3" xfId="2779" xr:uid="{B02D936C-A692-499B-9D55-7DCF3200C3E0}"/>
    <cellStyle name="Comma 2 4 2 3 3 2" xfId="6212" xr:uid="{F61DD024-0190-4B33-B1C9-0A1DF11CB003}"/>
    <cellStyle name="Comma 2 4 2 3 4" xfId="4472" xr:uid="{FF031D66-C1DC-4DB4-9DD0-BF7CB1BA92BE}"/>
    <cellStyle name="Comma 2 4 2 4" xfId="1542" xr:uid="{7355F039-3E11-4233-BA22-330E75BA24A3}"/>
    <cellStyle name="Comma 2 4 2 4 2" xfId="3206" xr:uid="{AB9D326F-34BA-4E46-9211-8A05C97F7203}"/>
    <cellStyle name="Comma 2 4 2 4 2 2" xfId="6646" xr:uid="{9359C597-B351-41CB-B34F-393042CA45A0}"/>
    <cellStyle name="Comma 2 4 2 4 3" xfId="4907" xr:uid="{1FAACB42-F71E-45FD-A765-D1803239F291}"/>
    <cellStyle name="Comma 2 4 2 5" xfId="769" xr:uid="{43B312A3-61A0-4BF5-A3BE-512E5C806C05}"/>
    <cellStyle name="Comma 2 4 2 5 2" xfId="5777" xr:uid="{E69AE1B9-B491-48A3-98F7-68A2ED7DA7DB}"/>
    <cellStyle name="Comma 2 4 2 6" xfId="4050" xr:uid="{C370FDD8-DC49-416D-A51C-C379DDAF47BD}"/>
    <cellStyle name="Comma 2 4 3" xfId="431" xr:uid="{AE2350B8-14C1-48EC-A4D5-578167B436B3}"/>
    <cellStyle name="Comma 2 4 3 2" xfId="1291" xr:uid="{3428B2DA-C47E-4A35-A351-64B89EBAB220}"/>
    <cellStyle name="Comma 2 4 3 2 2" xfId="2432" xr:uid="{F180AA6F-152B-43BC-AAF5-1094F31103B0}"/>
    <cellStyle name="Comma 2 4 3 2 2 2" xfId="3733" xr:uid="{F0F08E7E-3266-4C88-A6DB-89BF8C4CF5EE}"/>
    <cellStyle name="Comma 2 4 3 2 2 2 2" xfId="7190" xr:uid="{8700A97C-6B47-412A-9460-225F4CF5E1FE}"/>
    <cellStyle name="Comma 2 4 3 2 2 3" xfId="5451" xr:uid="{478E2BBE-18E0-49C4-8D08-DA2FF9CB9D4D}"/>
    <cellStyle name="Comma 2 4 3 2 3" xfId="2886" xr:uid="{E0DB1C4E-42AA-4AA8-B0F4-77B487D7FC81}"/>
    <cellStyle name="Comma 2 4 3 2 3 2" xfId="6321" xr:uid="{EC540689-482C-4AA3-BF5F-0BD3CD2E9E23}"/>
    <cellStyle name="Comma 2 4 3 2 4" xfId="4581" xr:uid="{6A29415A-0712-4EDC-B2C4-CA3BD7A3944A}"/>
    <cellStyle name="Comma 2 4 3 3" xfId="1748" xr:uid="{C41520DF-0926-485D-97E5-82EA10AF644D}"/>
    <cellStyle name="Comma 2 4 3 3 2" xfId="3311" xr:uid="{D1113C5F-EEBC-44D9-8756-0992C93AC598}"/>
    <cellStyle name="Comma 2 4 3 3 2 2" xfId="6755" xr:uid="{965AB963-EB1D-437C-965B-B44639EBC838}"/>
    <cellStyle name="Comma 2 4 3 3 3" xfId="5016" xr:uid="{136B0B73-94A7-47AA-BB03-F7590D7F7A90}"/>
    <cellStyle name="Comma 2 4 3 4" xfId="878" xr:uid="{A1237620-8E59-4A78-812D-4DE9E22C6B90}"/>
    <cellStyle name="Comma 2 4 3 4 2" xfId="5886" xr:uid="{A9194563-CFDA-4845-ACFC-EB643026ACC7}"/>
    <cellStyle name="Comma 2 4 3 5" xfId="4153" xr:uid="{699C1C21-752C-4A35-AF0C-22A00E9BF384}"/>
    <cellStyle name="Comma 2 4 4" xfId="1082" xr:uid="{B9D18989-04B7-4CE4-AAC2-BF5C0A5F7F0E}"/>
    <cellStyle name="Comma 2 4 4 2" xfId="1866" xr:uid="{A8F45A1C-259A-463F-A75F-8052F63D6796}"/>
    <cellStyle name="Comma 2 4 4 2 2" xfId="3527" xr:uid="{4E8B3855-1477-4B89-B442-FE5C700ECBCB}"/>
    <cellStyle name="Comma 2 4 4 2 2 2" xfId="6981" xr:uid="{CB0256D6-5DB9-44E8-9FBE-6F04AA994FE0}"/>
    <cellStyle name="Comma 2 4 4 2 3" xfId="5242" xr:uid="{272270C0-5097-4706-855D-02958704B6DE}"/>
    <cellStyle name="Comma 2 4 4 3" xfId="2680" xr:uid="{D23C5978-CBB5-4467-BB90-7046094F9DFF}"/>
    <cellStyle name="Comma 2 4 4 3 2" xfId="6112" xr:uid="{866AAC62-F269-4D11-A5BE-0FC35835282C}"/>
    <cellStyle name="Comma 2 4 4 4" xfId="4372" xr:uid="{E4D7F5C3-E560-4773-889A-73201899890E}"/>
    <cellStyle name="Comma 2 4 5" xfId="1438" xr:uid="{8F7BBFE6-19DD-4F99-96B9-F4713BC59878}"/>
    <cellStyle name="Comma 2 4 5 2" xfId="3111" xr:uid="{C2694B20-E851-47F7-ADD6-8C2099016B9B}"/>
    <cellStyle name="Comma 2 4 5 2 2" xfId="6546" xr:uid="{953EE2E2-B1D8-4692-81C5-8F44DB9823E4}"/>
    <cellStyle name="Comma 2 4 5 3" xfId="4807" xr:uid="{3BADF7CF-6E71-4A4D-BF1E-746AACB859EC}"/>
    <cellStyle name="Comma 2 4 6" xfId="669" xr:uid="{502C489C-243C-460C-B7B1-BDF954C0934C}"/>
    <cellStyle name="Comma 2 4 6 2" xfId="5677" xr:uid="{1081A905-E221-4DEB-AD4F-7A5AF577D1B4}"/>
    <cellStyle name="Comma 2 4 7" xfId="3955" xr:uid="{F24A9B37-73DD-418F-87EB-9D6C1BE92325}"/>
    <cellStyle name="Comma 2 5" xfId="234" xr:uid="{FCCD5BE8-D32A-4A23-92D0-2DBDDBA53306}"/>
    <cellStyle name="Comma 2 5 2" xfId="333" xr:uid="{DED18B16-00C4-4864-B4CC-F7CEDE6C28D2}"/>
    <cellStyle name="Comma 2 5 2 2" xfId="543" xr:uid="{2611EDFB-DBF3-4B8E-80E9-6C92169549D3}"/>
    <cellStyle name="Comma 2 5 2 2 2" xfId="1403" xr:uid="{581BB1D1-1339-4BE1-A7A0-28982BED6D6A}"/>
    <cellStyle name="Comma 2 5 2 2 2 2" xfId="2539" xr:uid="{5312B51C-E11F-436D-976B-23ED0E017A37}"/>
    <cellStyle name="Comma 2 5 2 2 2 2 2" xfId="3845" xr:uid="{D6568484-94AC-49E0-9B3D-D97B10805D75}"/>
    <cellStyle name="Comma 2 5 2 2 2 2 2 2" xfId="7302" xr:uid="{38E1F4AD-3D11-47CD-8FCC-003577339AF7}"/>
    <cellStyle name="Comma 2 5 2 2 2 2 3" xfId="5563" xr:uid="{227E047A-492A-45A7-8FF1-CD6194A59E17}"/>
    <cellStyle name="Comma 2 5 2 2 2 3" xfId="2998" xr:uid="{3234567A-477E-4C0C-8740-11D76052B3D9}"/>
    <cellStyle name="Comma 2 5 2 2 2 3 2" xfId="6433" xr:uid="{0354E769-2D11-4090-879D-8B2A32050134}"/>
    <cellStyle name="Comma 2 5 2 2 2 4" xfId="4693" xr:uid="{CED482E0-2179-49C5-9EF7-2E25FEA4D184}"/>
    <cellStyle name="Comma 2 5 2 2 3" xfId="1860" xr:uid="{9293AF11-4D29-42DA-815C-91A256F07CB8}"/>
    <cellStyle name="Comma 2 5 2 2 3 2" xfId="3418" xr:uid="{5CFD9959-E7C1-498E-8415-0805F07967FA}"/>
    <cellStyle name="Comma 2 5 2 2 3 2 2" xfId="6867" xr:uid="{420D0873-7633-44FC-A3DE-E1A1EA991863}"/>
    <cellStyle name="Comma 2 5 2 2 3 3" xfId="5128" xr:uid="{5EE15660-23AF-4682-9D7A-82F380AA904E}"/>
    <cellStyle name="Comma 2 5 2 2 4" xfId="990" xr:uid="{70F5C239-5F90-4FDA-8332-A19B18EF8502}"/>
    <cellStyle name="Comma 2 5 2 2 4 2" xfId="5998" xr:uid="{4BE646E9-D1B9-4012-9647-39F66ECA8F32}"/>
    <cellStyle name="Comma 2 5 2 2 5" xfId="4260" xr:uid="{53470A5E-67EA-4312-BDA3-B1825DFF0507}"/>
    <cellStyle name="Comma 2 5 2 3" xfId="1196" xr:uid="{9CE5CBF1-C239-4CC9-89F4-8A6644FABFB5}"/>
    <cellStyle name="Comma 2 5 2 3 2" xfId="2343" xr:uid="{474379C5-F561-48C1-833C-04F4C32EADE7}"/>
    <cellStyle name="Comma 2 5 2 3 2 2" xfId="3640" xr:uid="{28C44EE0-D8B3-4978-923E-98D262455AAC}"/>
    <cellStyle name="Comma 2 5 2 3 2 2 2" xfId="7095" xr:uid="{3DD8A4CC-210F-4C65-B30A-9D608F8B1ED9}"/>
    <cellStyle name="Comma 2 5 2 3 2 3" xfId="5356" xr:uid="{80C79423-20CD-4098-8FA4-323B6F289C22}"/>
    <cellStyle name="Comma 2 5 2 3 3" xfId="2793" xr:uid="{1ED6B0E9-9982-4A1A-A558-742F8F67FE7D}"/>
    <cellStyle name="Comma 2 5 2 3 3 2" xfId="6226" xr:uid="{0ACFC026-3781-4C75-8D73-7AC5EBB50668}"/>
    <cellStyle name="Comma 2 5 2 3 4" xfId="4486" xr:uid="{38F1CD28-E237-45B1-BE3C-05348F894F40}"/>
    <cellStyle name="Comma 2 5 2 4" xfId="1653" xr:uid="{8604FD8A-5CD5-482C-920D-F45797AE788B}"/>
    <cellStyle name="Comma 2 5 2 4 2" xfId="3220" xr:uid="{F6EE5596-AA2B-48B0-A292-E0C70DBDA1A7}"/>
    <cellStyle name="Comma 2 5 2 4 2 2" xfId="6660" xr:uid="{0AC84CEE-20CE-4662-A767-5907F5439191}"/>
    <cellStyle name="Comma 2 5 2 4 3" xfId="4921" xr:uid="{09AD4E23-2111-49A0-9546-298DFF9A9FB1}"/>
    <cellStyle name="Comma 2 5 2 5" xfId="783" xr:uid="{2CB4FB24-AC9E-4E22-9478-2649EEAA6A9F}"/>
    <cellStyle name="Comma 2 5 2 5 2" xfId="5791" xr:uid="{8E339831-C66A-41E7-9479-DF9BE78A54AC}"/>
    <cellStyle name="Comma 2 5 2 6" xfId="4064" xr:uid="{1F6D6E13-3082-4A58-9F3F-CE452C2C6ACB}"/>
    <cellStyle name="Comma 2 5 3" xfId="443" xr:uid="{FEBE19ED-8B26-471F-80E4-C33AE11D45FC}"/>
    <cellStyle name="Comma 2 5 3 2" xfId="1303" xr:uid="{F0493240-8A17-4C96-8C8E-96831081B09C}"/>
    <cellStyle name="Comma 2 5 3 2 2" xfId="2444" xr:uid="{3D17C6BF-97A5-47B6-BDE4-91075598C1D7}"/>
    <cellStyle name="Comma 2 5 3 2 2 2" xfId="3745" xr:uid="{70EDFB7D-4ED3-4757-AD07-4C146CC2A784}"/>
    <cellStyle name="Comma 2 5 3 2 2 2 2" xfId="7202" xr:uid="{7865BCCA-39DB-4A46-9617-A8601263B436}"/>
    <cellStyle name="Comma 2 5 3 2 2 3" xfId="5463" xr:uid="{302D7E05-ADE0-4FA0-90BD-3343AB7A348B}"/>
    <cellStyle name="Comma 2 5 3 2 3" xfId="2898" xr:uid="{9AFF53A4-700A-49F5-9375-0EAB1247A779}"/>
    <cellStyle name="Comma 2 5 3 2 3 2" xfId="6333" xr:uid="{22568B1E-F8A6-4B88-9B6C-075642F916DC}"/>
    <cellStyle name="Comma 2 5 3 2 4" xfId="4593" xr:uid="{9EFEBE06-CE75-469A-921F-93587C975332}"/>
    <cellStyle name="Comma 2 5 3 3" xfId="1760" xr:uid="{4DCFD576-E5E7-4C6F-BD14-EA31879462C8}"/>
    <cellStyle name="Comma 2 5 3 3 2" xfId="3323" xr:uid="{750CF8C3-B11F-4962-ABB0-59AFBDC0AF06}"/>
    <cellStyle name="Comma 2 5 3 3 2 2" xfId="6767" xr:uid="{34DB8F9B-BEFE-468E-8565-92DE33550661}"/>
    <cellStyle name="Comma 2 5 3 3 3" xfId="5028" xr:uid="{7D288B39-CBB6-4F40-9F38-92440FAD2A45}"/>
    <cellStyle name="Comma 2 5 3 4" xfId="890" xr:uid="{2EBF38A0-C156-458A-9504-A6A5A47BA533}"/>
    <cellStyle name="Comma 2 5 3 4 2" xfId="5898" xr:uid="{D344F8A4-00FE-411A-B463-B5E86EC75211}"/>
    <cellStyle name="Comma 2 5 3 5" xfId="4165" xr:uid="{6A079D86-CDB7-4876-947A-F0F5119363A6}"/>
    <cellStyle name="Comma 2 5 4" xfId="1096" xr:uid="{51894015-5677-4425-BA7A-CC882591150A}"/>
    <cellStyle name="Comma 2 5 4 2" xfId="1896" xr:uid="{C585BC70-38B5-47E7-93E2-96A49816C15C}"/>
    <cellStyle name="Comma 2 5 4 2 2" xfId="3541" xr:uid="{D9D8DB5B-9111-46F3-A8C0-B06223D664FC}"/>
    <cellStyle name="Comma 2 5 4 2 2 2" xfId="6995" xr:uid="{2377173D-144E-4453-BAE1-81DBF7916645}"/>
    <cellStyle name="Comma 2 5 4 2 3" xfId="5256" xr:uid="{D351040F-6AFA-48D9-BFF5-AAD997D4EAC5}"/>
    <cellStyle name="Comma 2 5 4 3" xfId="2694" xr:uid="{E30F61FC-07B5-4388-A1FA-BC927708065D}"/>
    <cellStyle name="Comma 2 5 4 3 2" xfId="6126" xr:uid="{DDAE094A-F8E0-4C58-BE7E-92651F4ACABD}"/>
    <cellStyle name="Comma 2 5 4 4" xfId="4386" xr:uid="{5F536B7D-E4F9-4642-B561-386454D30F5A}"/>
    <cellStyle name="Comma 2 5 5" xfId="1555" xr:uid="{BB59A632-E567-4A72-9020-6A53D5DFDC7E}"/>
    <cellStyle name="Comma 2 5 5 2" xfId="3124" xr:uid="{4CAFFDDF-7D1A-400D-B5A7-D1644BF9C342}"/>
    <cellStyle name="Comma 2 5 5 2 2" xfId="6560" xr:uid="{B0DC4A41-AE82-48E0-88EB-63D81701A13A}"/>
    <cellStyle name="Comma 2 5 5 3" xfId="4821" xr:uid="{5EB2BC1E-9E5F-49C3-AD4E-AED9C3D70E40}"/>
    <cellStyle name="Comma 2 5 6" xfId="683" xr:uid="{4635E62B-BDC8-4D31-A77D-4171DCA7C98E}"/>
    <cellStyle name="Comma 2 5 6 2" xfId="5691" xr:uid="{E97219A8-A1F7-4DF7-914F-2406C92CB1E2}"/>
    <cellStyle name="Comma 2 5 7" xfId="3969" xr:uid="{A84EE622-E31B-4DD3-B49E-B01C88DC257A}"/>
    <cellStyle name="Comma 2 6" xfId="358" xr:uid="{9804CB91-32CC-43DE-8E8C-6963FA3D64F8}"/>
    <cellStyle name="Comma 2 6 2" xfId="1677" xr:uid="{7234BAA3-82AB-4D79-BC26-4ACB438C3FAD}"/>
    <cellStyle name="Comma 2 6 2 2" xfId="1958" xr:uid="{B914C64F-15F4-4E15-A67B-A29327A9DEE6}"/>
    <cellStyle name="Comma 2 6 3" xfId="1871" xr:uid="{F18FA2A5-F816-410F-BAFD-AC08A95AFEDA}"/>
    <cellStyle name="Comma 2 6 4" xfId="1461" xr:uid="{5286BC90-F5A0-4E01-8FBD-85D86B8819F8}"/>
    <cellStyle name="Comma 2 6 5" xfId="569" xr:uid="{AD3BB2B2-9E07-4AE3-8B81-5FE9A4241C91}"/>
    <cellStyle name="Comma 2 7" xfId="336" xr:uid="{F521DD40-3CFA-46B4-9800-0619417AB90B}"/>
    <cellStyle name="Comma 2 7 2" xfId="1201" xr:uid="{9B0186C1-CE9E-461B-9B43-97331181BBB6}"/>
    <cellStyle name="Comma 2 7 2 2" xfId="2348" xr:uid="{D70E9799-446F-4140-8BEF-37C0B18B8B99}"/>
    <cellStyle name="Comma 2 7 2 2 2" xfId="3645" xr:uid="{0742FDFB-658E-4049-B429-44FF02CA92F0}"/>
    <cellStyle name="Comma 2 7 2 2 2 2" xfId="7100" xr:uid="{8D5137F9-C196-46A2-85C3-DC4966CE2B5E}"/>
    <cellStyle name="Comma 2 7 2 2 3" xfId="5361" xr:uid="{26B95E9C-A44B-4E2E-B494-437F86A9EC51}"/>
    <cellStyle name="Comma 2 7 2 3" xfId="2798" xr:uid="{84F3C1D9-B038-4E4B-9D42-6F812309917F}"/>
    <cellStyle name="Comma 2 7 2 3 2" xfId="6231" xr:uid="{E2EF8AD2-F805-4A3E-A5EE-D570F1A35DE3}"/>
    <cellStyle name="Comma 2 7 2 4" xfId="4491" xr:uid="{56C03C4A-7E0B-4029-9C2D-DBB1B83B44E7}"/>
    <cellStyle name="Comma 2 7 3" xfId="1656" xr:uid="{C7BD94E4-DCCB-4E1A-838A-86E1C8D1707A}"/>
    <cellStyle name="Comma 2 7 3 2" xfId="3225" xr:uid="{69C28E6B-4EF1-4B0F-876E-E069B1C12ABB}"/>
    <cellStyle name="Comma 2 7 3 2 2" xfId="6665" xr:uid="{B7426BFF-FA26-490C-B154-E2249B1994F7}"/>
    <cellStyle name="Comma 2 7 3 3" xfId="4926" xr:uid="{93529C6F-B4D3-476F-A0E5-D8C85BFE04A8}"/>
    <cellStyle name="Comma 2 7 4" xfId="788" xr:uid="{C4B0A566-26C3-4639-B488-1DAB4F889220}"/>
    <cellStyle name="Comma 2 7 4 2" xfId="5796" xr:uid="{6F39B734-F5E1-43A0-B508-E782406F8D5A}"/>
    <cellStyle name="Comma 2 7 5" xfId="4069" xr:uid="{F76CC04D-39B9-46CC-9447-7B1AE734A25B}"/>
    <cellStyle name="Comma 2 8" xfId="142" xr:uid="{025DC3C9-1408-4452-95EF-094EF4F72DC1}"/>
    <cellStyle name="Comma 2 9" xfId="552" xr:uid="{6A137777-AB7D-4BD8-9F32-76553908B6BF}"/>
    <cellStyle name="Comma 3" xfId="12" xr:uid="{2A418B01-604B-4901-813B-EFDE3E8FB697}"/>
    <cellStyle name="Comma 3 10" xfId="143" xr:uid="{23697757-CE35-4AF0-9178-CE7D36B301E4}"/>
    <cellStyle name="Comma 3 2" xfId="203" xr:uid="{1F84CBE3-C760-4AEF-ACD3-12E993689E4F}"/>
    <cellStyle name="Comma 3 2 2" xfId="1569" xr:uid="{70B464FD-F883-4751-8E85-C8C5343FCD90}"/>
    <cellStyle name="Comma 3 2 2 2" xfId="1950" xr:uid="{E5FDCA2B-A8C5-48AC-9612-6132BA6829BB}"/>
    <cellStyle name="Comma 3 2 3" xfId="1880" xr:uid="{353E9C10-6FD5-4548-A988-FED5E57B4D60}"/>
    <cellStyle name="Comma 3 2 4" xfId="1516" xr:uid="{7E53CF2F-92AE-42E3-860F-C43C6972DFE2}"/>
    <cellStyle name="Comma 3 2 5" xfId="561" xr:uid="{7807E57F-A4CE-4C0C-92E5-BC387AF64186}"/>
    <cellStyle name="Comma 3 3" xfId="207" xr:uid="{A350733F-0163-4585-B239-56EFA76D7973}"/>
    <cellStyle name="Comma 3 3 2" xfId="300" xr:uid="{5D7C7B92-3FB6-4F73-A02C-C157B9B133A1}"/>
    <cellStyle name="Comma 3 3 2 2" xfId="509" xr:uid="{9F61F0C6-654C-46E2-96D2-CA630B62B825}"/>
    <cellStyle name="Comma 3 3 2 2 2" xfId="1369" xr:uid="{5247F09A-125F-41FF-B5EB-43FC2A271570}"/>
    <cellStyle name="Comma 3 3 2 2 2 2" xfId="2506" xr:uid="{19742953-2CAC-486F-9CEF-3AD8B171EAD4}"/>
    <cellStyle name="Comma 3 3 2 2 2 2 2" xfId="3811" xr:uid="{9C8820CB-4001-432F-A4EA-33E9038D08E5}"/>
    <cellStyle name="Comma 3 3 2 2 2 2 2 2" xfId="7268" xr:uid="{D4795EF2-DE20-4B33-8D3B-0B2B63E573C0}"/>
    <cellStyle name="Comma 3 3 2 2 2 2 3" xfId="5529" xr:uid="{C04E293D-D8E7-48B7-B488-1BAD619AD285}"/>
    <cellStyle name="Comma 3 3 2 2 2 3" xfId="2964" xr:uid="{CB9A4149-BD7A-41A2-B96C-C40D77286BA9}"/>
    <cellStyle name="Comma 3 3 2 2 2 3 2" xfId="6399" xr:uid="{274C7341-A4A5-43DA-9072-ECD98FB8E7D6}"/>
    <cellStyle name="Comma 3 3 2 2 2 4" xfId="4659" xr:uid="{7CB33A36-8FDD-4FFE-B2AC-F2226636B641}"/>
    <cellStyle name="Comma 3 3 2 2 3" xfId="1826" xr:uid="{1C2C64F6-5B7E-49F1-AD2E-732A135501A5}"/>
    <cellStyle name="Comma 3 3 2 2 3 2" xfId="3385" xr:uid="{824BEC51-ADFC-496D-BC7A-CD9B55F54103}"/>
    <cellStyle name="Comma 3 3 2 2 3 2 2" xfId="6833" xr:uid="{62DE805C-E68E-45AF-9A42-F46ABD74CDBE}"/>
    <cellStyle name="Comma 3 3 2 2 3 3" xfId="5094" xr:uid="{D074DDB9-DAD6-429F-B3C7-28FF89AA39FA}"/>
    <cellStyle name="Comma 3 3 2 2 4" xfId="956" xr:uid="{B4609933-5937-4FFC-BC96-F9469783E95C}"/>
    <cellStyle name="Comma 3 3 2 2 4 2" xfId="5964" xr:uid="{92C224D0-D223-4118-A688-216C9576A1A2}"/>
    <cellStyle name="Comma 3 3 2 2 5" xfId="4227" xr:uid="{36569E1B-0439-4266-8895-86C443BEFAE9}"/>
    <cellStyle name="Comma 3 3 2 3" xfId="1162" xr:uid="{8B64BE5F-53C5-4372-9BC1-CF7997F3468F}"/>
    <cellStyle name="Comma 3 3 2 3 2" xfId="2316" xr:uid="{37472C6F-0A49-4D5A-B0DF-7940FD792AC6}"/>
    <cellStyle name="Comma 3 3 2 3 2 2" xfId="3606" xr:uid="{137F532A-FD59-4A18-B351-EE9626E8C0F9}"/>
    <cellStyle name="Comma 3 3 2 3 2 2 2" xfId="7061" xr:uid="{B7B9586B-7224-46DE-9EAE-940FB9186438}"/>
    <cellStyle name="Comma 3 3 2 3 2 3" xfId="5322" xr:uid="{86AA43BD-2273-4E1E-AEC6-E4DDF4207DF0}"/>
    <cellStyle name="Comma 3 3 2 3 3" xfId="2759" xr:uid="{CE15AA48-4D18-44B5-9D65-D642D81EE291}"/>
    <cellStyle name="Comma 3 3 2 3 3 2" xfId="6192" xr:uid="{8D5A9DB5-7385-4616-ACE9-5CFA7E871E16}"/>
    <cellStyle name="Comma 3 3 2 3 4" xfId="4452" xr:uid="{6360C40D-837F-4F22-BAA9-683EB87893CB}"/>
    <cellStyle name="Comma 3 3 2 4" xfId="1633" xr:uid="{38090FB1-A399-4381-9130-2A8349911612}"/>
    <cellStyle name="Comma 3 3 2 4 2" xfId="3187" xr:uid="{CECBE4A3-ADDB-4699-BC11-9046B1A1B12D}"/>
    <cellStyle name="Comma 3 3 2 4 2 2" xfId="6626" xr:uid="{18E728C9-0128-4986-8F64-7683F8E33D25}"/>
    <cellStyle name="Comma 3 3 2 4 3" xfId="4887" xr:uid="{D5438FB0-DD86-40D2-ACA1-3AE44CA66129}"/>
    <cellStyle name="Comma 3 3 2 5" xfId="749" xr:uid="{7E4346FC-D3BF-437A-AA13-ADA60FECB79B}"/>
    <cellStyle name="Comma 3 3 2 5 2" xfId="5757" xr:uid="{9A662618-28A0-4BA6-8674-641DBFE09B1C}"/>
    <cellStyle name="Comma 3 3 2 6" xfId="4031" xr:uid="{04B20AD4-47FD-4232-9C15-256E9E92018E}"/>
    <cellStyle name="Comma 3 3 3" xfId="413" xr:uid="{EFADC730-03DA-4F40-A48E-7387FECC82A6}"/>
    <cellStyle name="Comma 3 3 3 2" xfId="1273" xr:uid="{C9E20AB7-CEAA-4122-A78E-7C5E02B1C0AB}"/>
    <cellStyle name="Comma 3 3 3 2 2" xfId="2415" xr:uid="{7266602C-5865-4D77-8CAC-9F34DEF90010}"/>
    <cellStyle name="Comma 3 3 3 2 2 2" xfId="3715" xr:uid="{10E1B5E9-E3BA-4CA5-9AE7-7F23A5548692}"/>
    <cellStyle name="Comma 3 3 3 2 2 2 2" xfId="7172" xr:uid="{5C868D72-0031-4F31-83E7-05C355C5474D}"/>
    <cellStyle name="Comma 3 3 3 2 2 3" xfId="5433" xr:uid="{0718EB7F-F640-4746-B07E-CBDBCD49DCF3}"/>
    <cellStyle name="Comma 3 3 3 2 3" xfId="2868" xr:uid="{0DA1297C-4748-415A-83DE-D1A456A7C3FC}"/>
    <cellStyle name="Comma 3 3 3 2 3 2" xfId="6303" xr:uid="{73F079D8-AC45-4D00-A1FC-83E5BCE160C4}"/>
    <cellStyle name="Comma 3 3 3 2 4" xfId="4563" xr:uid="{8CB18DEE-0904-4E57-ADFB-AFFC0A485FE8}"/>
    <cellStyle name="Comma 3 3 3 3" xfId="1730" xr:uid="{D79F3B92-F797-45C5-AE57-BA00DDDE15A3}"/>
    <cellStyle name="Comma 3 3 3 3 2" xfId="3294" xr:uid="{C663CA80-3670-4150-A274-CD20BB92CC97}"/>
    <cellStyle name="Comma 3 3 3 3 2 2" xfId="6737" xr:uid="{D5885DED-5AA4-48E4-944E-907DFA3A9B7E}"/>
    <cellStyle name="Comma 3 3 3 3 3" xfId="4998" xr:uid="{872B5B16-8968-483A-B3FF-EA79FA5473EA}"/>
    <cellStyle name="Comma 3 3 3 4" xfId="860" xr:uid="{F3EDC3DB-4863-4D41-9A21-4004FF271F41}"/>
    <cellStyle name="Comma 3 3 3 4 2" xfId="5868" xr:uid="{5469EAEE-E23E-409F-975C-EBCA33C93EFF}"/>
    <cellStyle name="Comma 3 3 3 5" xfId="4136" xr:uid="{8DF78216-BF95-4195-9882-7C7FBD1BDDA3}"/>
    <cellStyle name="Comma 3 3 4" xfId="1062" xr:uid="{632A6436-98EB-4840-BDF3-D5D7536E3816}"/>
    <cellStyle name="Comma 3 3 4 2" xfId="1883" xr:uid="{C3A3ED91-1613-4E08-9CD7-4FA2A3D6D0B8}"/>
    <cellStyle name="Comma 3 3 4 2 2" xfId="3508" xr:uid="{86DD5598-A3C6-40A3-8616-9E04870873DD}"/>
    <cellStyle name="Comma 3 3 4 2 2 2" xfId="6961" xr:uid="{22426D72-9644-4EB8-B891-A8CE456A62E0}"/>
    <cellStyle name="Comma 3 3 4 2 3" xfId="5222" xr:uid="{B17A95D2-4830-48C6-9A32-40D9F92F8A4D}"/>
    <cellStyle name="Comma 3 3 4 3" xfId="2664" xr:uid="{3D0DB413-E1E9-43E5-AB1D-11EC1FC915C2}"/>
    <cellStyle name="Comma 3 3 4 3 2" xfId="6092" xr:uid="{B4D7B541-ADF3-4134-AF27-403758C892AB}"/>
    <cellStyle name="Comma 3 3 4 4" xfId="4353" xr:uid="{5056D059-1DE2-4690-B796-CA542CBA3A11}"/>
    <cellStyle name="Comma 3 3 5" xfId="1522" xr:uid="{0D780F1C-1DFC-480B-836E-4C2CD78CE676}"/>
    <cellStyle name="Comma 3 3 5 2" xfId="3092" xr:uid="{6CC5FCC9-A9AC-44D4-9B00-119B7771E8C4}"/>
    <cellStyle name="Comma 3 3 5 2 2" xfId="6527" xr:uid="{04FF11DF-6CFF-4578-A056-84D7F9B36E99}"/>
    <cellStyle name="Comma 3 3 5 3" xfId="4787" xr:uid="{E2221655-93F9-4E99-860C-E22E5BB74FE2}"/>
    <cellStyle name="Comma 3 3 6" xfId="649" xr:uid="{7E46EACD-2EEA-46E7-8613-04947100CB53}"/>
    <cellStyle name="Comma 3 3 6 2" xfId="5657" xr:uid="{90F0EDAA-5053-458F-8EF6-004C374C9B69}"/>
    <cellStyle name="Comma 3 3 7" xfId="3939" xr:uid="{971F073D-265A-440E-BBD5-F3061EC27E07}"/>
    <cellStyle name="Comma 3 4" xfId="359" xr:uid="{0991D84A-B81F-401B-A41C-D7DC6DECEB6A}"/>
    <cellStyle name="Comma 3 4 2" xfId="1678" xr:uid="{81124D0D-D81B-4158-AE4F-DA0C881A5E1A}"/>
    <cellStyle name="Comma 3 4 2 2" xfId="1959" xr:uid="{D1068065-6411-495D-A919-720A86EA85F3}"/>
    <cellStyle name="Comma 3 4 3" xfId="1872" xr:uid="{A924A097-3339-4C6C-BBB7-D72FA875DDEC}"/>
    <cellStyle name="Comma 3 4 4" xfId="1462" xr:uid="{4471EDC2-8236-4003-9C8B-4C357C8AB4B0}"/>
    <cellStyle name="Comma 3 4 5" xfId="570" xr:uid="{FB044BD7-DF2E-4BCA-83C0-7D75D22ACE08}"/>
    <cellStyle name="Comma 3 5" xfId="337" xr:uid="{D4160F44-BC45-49BB-987F-4743B6B7BEA3}"/>
    <cellStyle name="Comma 3 5 2" xfId="1202" xr:uid="{2AC24FC4-4C59-4874-B48F-84C3351EA413}"/>
    <cellStyle name="Comma 3 5 2 2" xfId="2349" xr:uid="{A0A274EF-D760-4D94-8E2F-4F52D7A770B5}"/>
    <cellStyle name="Comma 3 5 2 2 2" xfId="3646" xr:uid="{2ED25A01-0809-463E-A9AD-9C4F4EAFB007}"/>
    <cellStyle name="Comma 3 5 2 2 2 2" xfId="7101" xr:uid="{75A58F2C-2E6F-4DB9-8E0A-459AF9553CD2}"/>
    <cellStyle name="Comma 3 5 2 2 3" xfId="5362" xr:uid="{F80A8F5E-A0ED-49A8-BF33-7F41DFBD3D09}"/>
    <cellStyle name="Comma 3 5 2 3" xfId="2799" xr:uid="{2159C054-3929-4B04-830B-405C8AC3B8F6}"/>
    <cellStyle name="Comma 3 5 2 3 2" xfId="6232" xr:uid="{936DECE5-2B7A-4A25-97A6-1EED1F6BA142}"/>
    <cellStyle name="Comma 3 5 2 4" xfId="4492" xr:uid="{E39C88CD-7B5F-4889-BB70-1C42A068AB14}"/>
    <cellStyle name="Comma 3 5 3" xfId="1657" xr:uid="{CC475654-E6D2-4BBD-8A68-A5D6CAC0D7CC}"/>
    <cellStyle name="Comma 3 5 3 2" xfId="3226" xr:uid="{11999045-63D1-4923-904E-39D92EEA1464}"/>
    <cellStyle name="Comma 3 5 3 2 2" xfId="6666" xr:uid="{3618655D-BE32-460B-A2FC-D54BF417D2CE}"/>
    <cellStyle name="Comma 3 5 3 3" xfId="4927" xr:uid="{CEEF2C4E-BA29-4D43-B782-9EC888428ACD}"/>
    <cellStyle name="Comma 3 5 4" xfId="789" xr:uid="{528CCA73-FC0C-4FBB-98CB-6F4BE1854870}"/>
    <cellStyle name="Comma 3 5 4 2" xfId="5797" xr:uid="{80E42B1B-15E1-40E8-A050-FCE8F89A05BA}"/>
    <cellStyle name="Comma 3 5 5" xfId="4070" xr:uid="{4E467D73-D51A-44E4-983A-99D2143ABD07}"/>
    <cellStyle name="Comma 3 6" xfId="1561" xr:uid="{C56C2374-D54B-45DA-9722-284E9EAEBF5D}"/>
    <cellStyle name="Comma 3 6 2" xfId="1942" xr:uid="{1D3A92AB-94D4-4F31-A093-9489883D8E2D}"/>
    <cellStyle name="Comma 3 7" xfId="1867" xr:uid="{6669B27D-F589-41CC-853F-068A67283FBA}"/>
    <cellStyle name="Comma 3 8" xfId="1439" xr:uid="{6A5B03C9-AD04-4F40-B2FE-7AF7666322D5}"/>
    <cellStyle name="Comma 3 9" xfId="553" xr:uid="{34ACD7E3-3B42-43CE-A199-0A3CD1D70C81}"/>
    <cellStyle name="Comma 4" xfId="165" xr:uid="{C1289D4F-97D3-49DC-AB7C-ECBA70346743}"/>
    <cellStyle name="Comma 4 2" xfId="199" xr:uid="{2CABE838-4F8F-49DE-B4E0-EB843FF9E2EE}"/>
    <cellStyle name="Comma 4 2 2" xfId="1567" xr:uid="{4A283D4B-914E-4447-98DD-023B3BB5D092}"/>
    <cellStyle name="Comma 4 2 2 2" xfId="1948" xr:uid="{66CFCFDE-2A30-4F39-B33C-8EB633B28A75}"/>
    <cellStyle name="Comma 4 2 3" xfId="1878" xr:uid="{3CFA540D-25B3-4F5E-BD73-4DD2D63FD4BC}"/>
    <cellStyle name="Comma 4 2 4" xfId="1513" xr:uid="{ADC35488-D474-4A6D-8423-37766E18A7C7}"/>
    <cellStyle name="Comma 4 2 5" xfId="559" xr:uid="{381CA7EA-1D8B-44FC-BAAE-53B60486DF92}"/>
    <cellStyle name="Comma 4 3" xfId="379" xr:uid="{C0C1C964-11E4-4738-941E-136896807E54}"/>
    <cellStyle name="Comma 4 3 2" xfId="1697" xr:uid="{CB5F720C-8FA7-45C1-A309-0151F922A806}"/>
    <cellStyle name="Comma 4 3 2 2" xfId="1962" xr:uid="{BD9D1C3C-1DCB-4C9B-8B03-1980DAD50D19}"/>
    <cellStyle name="Comma 4 3 3" xfId="1875" xr:uid="{A023CC10-1F9C-4139-95C8-6A01ECDD44C3}"/>
    <cellStyle name="Comma 4 3 4" xfId="1482" xr:uid="{5040FAE2-E2E1-4D0E-ACC8-0C38857417AB}"/>
    <cellStyle name="Comma 4 3 5" xfId="573" xr:uid="{B314D04A-4DB4-457E-A97C-28C781E74229}"/>
    <cellStyle name="Comma 4 4" xfId="339" xr:uid="{44271429-0236-41B8-8337-7F77877257BE}"/>
    <cellStyle name="Comma 4 4 2" xfId="1204" xr:uid="{865FC90F-F375-4DB1-8149-7B6BD8DA1CA3}"/>
    <cellStyle name="Comma 4 4 2 2" xfId="1659" xr:uid="{FD148E6C-5026-4F40-86F2-CC0C943D58F2}"/>
    <cellStyle name="Comma 4 4 2 2 2" xfId="1996" xr:uid="{5FDCA266-3A1C-45EB-BB62-90801C289100}"/>
    <cellStyle name="Comma 4 4 2 2 2 2" xfId="7103" xr:uid="{6A935C2F-30C6-4CC1-A9A8-BF068925F710}"/>
    <cellStyle name="Comma 4 4 2 2 3" xfId="5364" xr:uid="{0ED2A9F2-4AF0-4D57-AA18-02A9280B7164}"/>
    <cellStyle name="Comma 4 4 2 3" xfId="1957" xr:uid="{A1FF9D7F-ADDE-4700-85BE-B91D6D282B2D}"/>
    <cellStyle name="Comma 4 4 2 3 2" xfId="6234" xr:uid="{EB332F0D-5C91-40C1-BF86-F67C2AFCD262}"/>
    <cellStyle name="Comma 4 4 2 4" xfId="4494" xr:uid="{99EC8B01-6F4C-42D7-A71E-179DA9ABDB35}"/>
    <cellStyle name="Comma 4 4 3" xfId="1898" xr:uid="{4BE7DDE9-94F4-4C76-B0FB-597E223875F7}"/>
    <cellStyle name="Comma 4 4 3 2" xfId="3228" xr:uid="{02BCFD2E-28D7-4BBC-B2DB-C9969CB3F7C1}"/>
    <cellStyle name="Comma 4 4 3 2 2" xfId="6668" xr:uid="{C95481A7-1422-4924-B7D6-466641995E8F}"/>
    <cellStyle name="Comma 4 4 3 3" xfId="4929" xr:uid="{34F6EC89-5C71-4E7E-BE74-9C69D3473B31}"/>
    <cellStyle name="Comma 4 4 4" xfId="1557" xr:uid="{15FBF2B3-7DBC-49BF-9220-6AE7917C707D}"/>
    <cellStyle name="Comma 4 4 4 2" xfId="5799" xr:uid="{E8C4897E-7FA1-4F09-ADE2-9BA43E5D78BB}"/>
    <cellStyle name="Comma 4 4 5" xfId="791" xr:uid="{0C8CA9CE-D59B-456F-A297-49CE95C6E251}"/>
    <cellStyle name="Comma 4 4 6" xfId="568" xr:uid="{51CE3912-FEB7-48B5-A961-4A2BB4DE9BAE}"/>
    <cellStyle name="Comma 4 5" xfId="1564" xr:uid="{C09ADC8E-ECDD-4D76-923D-4DEFBE60B8F0}"/>
    <cellStyle name="Comma 4 5 2" xfId="1945" xr:uid="{AC30AA71-3358-4390-8089-3F8E1DF74515}"/>
    <cellStyle name="Comma 4 6" xfId="1441" xr:uid="{7FB5FCA7-14FB-4683-B814-9476FBE84CD5}"/>
    <cellStyle name="Comma 4 6 2" xfId="1985" xr:uid="{8DA0A44A-F4E5-4930-BE4C-46D697DD4F42}"/>
    <cellStyle name="Comma 4 7" xfId="556" xr:uid="{1A015518-FA82-4C0B-9EA4-97BEB990CD07}"/>
    <cellStyle name="Comma 5" xfId="107" xr:uid="{6E9CF5EA-8B86-4B47-8E78-78DB5D30EF5C}"/>
    <cellStyle name="Comma 5 2" xfId="137" xr:uid="{2AB72F62-8A9E-4315-936D-F7A5BFC88733}"/>
    <cellStyle name="Comma 5 2 2" xfId="329" xr:uid="{B10B7AEF-4B29-45A2-93C2-F2816759DE63}"/>
    <cellStyle name="Comma 5 2 2 2" xfId="539" xr:uid="{0975F4D8-CF0F-4902-9134-A3EBB2F4646E}"/>
    <cellStyle name="Comma 5 2 2 2 2" xfId="1399" xr:uid="{CFDA9BC0-FA5F-4B2F-B545-752C6BF57C76}"/>
    <cellStyle name="Comma 5 2 2 2 2 2" xfId="2535" xr:uid="{6C5C934B-4101-405C-84F0-2B2834699CA7}"/>
    <cellStyle name="Comma 5 2 2 2 2 2 2" xfId="3841" xr:uid="{3E7C5105-D2D8-474F-9C55-9516FE7EB382}"/>
    <cellStyle name="Comma 5 2 2 2 2 2 2 2" xfId="7298" xr:uid="{87FE532F-1FDB-4A3F-9CE4-053E76DBF1BB}"/>
    <cellStyle name="Comma 5 2 2 2 2 2 3" xfId="5559" xr:uid="{367BFD2A-6776-4FD1-853F-05FE91E1BECC}"/>
    <cellStyle name="Comma 5 2 2 2 2 3" xfId="2994" xr:uid="{B6FC0F39-CE1C-473C-951E-B12750A46344}"/>
    <cellStyle name="Comma 5 2 2 2 2 3 2" xfId="6429" xr:uid="{010CB65C-C610-421F-B84F-71A755DBD775}"/>
    <cellStyle name="Comma 5 2 2 2 2 4" xfId="4689" xr:uid="{A5F3544F-FD61-4150-8F31-0B45BE117B58}"/>
    <cellStyle name="Comma 5 2 2 2 3" xfId="1856" xr:uid="{4CFAC628-5492-422E-A8A4-FB83D71D5ACE}"/>
    <cellStyle name="Comma 5 2 2 2 3 2" xfId="3414" xr:uid="{0BABF50F-E616-451D-8990-6D0508BE142C}"/>
    <cellStyle name="Comma 5 2 2 2 3 2 2" xfId="6863" xr:uid="{C1154C6D-26EB-474E-9328-F175A7C9E15A}"/>
    <cellStyle name="Comma 5 2 2 2 3 3" xfId="5124" xr:uid="{F70CB98C-F1ED-4214-8DE7-40B1922D08FD}"/>
    <cellStyle name="Comma 5 2 2 2 4" xfId="986" xr:uid="{D8BBF51B-A104-4D50-80E5-8AF3CA71A93A}"/>
    <cellStyle name="Comma 5 2 2 2 4 2" xfId="5994" xr:uid="{13B4C9C7-08AD-48B4-9055-5B3A46B96131}"/>
    <cellStyle name="Comma 5 2 2 2 5" xfId="4256" xr:uid="{6BE95E48-6021-43A5-B108-D41FD37FAD9C}"/>
    <cellStyle name="Comma 5 2 2 3" xfId="1192" xr:uid="{988E03CB-1EA1-4A6B-8C6A-ECDE0A04BCEB}"/>
    <cellStyle name="Comma 5 2 2 3 2" xfId="1894" xr:uid="{993E8EA2-2295-4152-942E-84A702DF009C}"/>
    <cellStyle name="Comma 5 2 2 3 2 2" xfId="3636" xr:uid="{3AC3D7BC-9576-45FB-A484-8E748CB31688}"/>
    <cellStyle name="Comma 5 2 2 3 2 2 2" xfId="7091" xr:uid="{8D263C92-DD71-48B9-A9D6-4B3F02080DB2}"/>
    <cellStyle name="Comma 5 2 2 3 2 3" xfId="5352" xr:uid="{BB78B753-6020-49E1-A46D-7A9279CFC496}"/>
    <cellStyle name="Comma 5 2 2 3 3" xfId="2789" xr:uid="{8C72EC71-E048-4802-AC9B-609512CAB19A}"/>
    <cellStyle name="Comma 5 2 2 3 3 2" xfId="6222" xr:uid="{48BDB049-698F-4CAB-B9B0-B333989F4969}"/>
    <cellStyle name="Comma 5 2 2 3 4" xfId="4482" xr:uid="{FEAAA415-7FE3-4C2E-8A89-F3FEE78431F4}"/>
    <cellStyle name="Comma 5 2 2 4" xfId="1551" xr:uid="{C0AC5B28-B679-4E89-9A80-2B41D280E67D}"/>
    <cellStyle name="Comma 5 2 2 4 2" xfId="3216" xr:uid="{CD96C4BE-C863-4A63-B507-A2BCDC91CF19}"/>
    <cellStyle name="Comma 5 2 2 4 2 2" xfId="6656" xr:uid="{A9781452-DAAB-4BF2-B7EC-08714E750479}"/>
    <cellStyle name="Comma 5 2 2 4 3" xfId="4917" xr:uid="{098F17EB-5C3A-4C14-A09C-73AA10BDF3E3}"/>
    <cellStyle name="Comma 5 2 2 5" xfId="779" xr:uid="{BDB087EB-88A0-4FCE-A025-F5CAC7E4FA65}"/>
    <cellStyle name="Comma 5 2 2 5 2" xfId="5787" xr:uid="{ADAFBC45-7F8E-4DEF-8C0F-23A665B01DC2}"/>
    <cellStyle name="Comma 5 2 2 6" xfId="4060" xr:uid="{A4C2DE9F-3773-409C-A420-9358E0EFA940}"/>
    <cellStyle name="Comma 5 2 3" xfId="341" xr:uid="{D4B30821-6C3B-499C-BCD4-ACB87BA6539B}"/>
    <cellStyle name="Comma 5 2 3 2" xfId="1205" xr:uid="{6CDD3D50-AF0F-42DF-B33B-435AEE151907}"/>
    <cellStyle name="Comma 5 2 3 2 2" xfId="2351" xr:uid="{5E8827A2-D55F-40B1-A512-6C9C373748D2}"/>
    <cellStyle name="Comma 5 2 3 2 2 2" xfId="3648" xr:uid="{46D55DD7-DDFE-4FC2-8C9F-A2EB0F1A9C5B}"/>
    <cellStyle name="Comma 5 2 3 2 2 2 2" xfId="7104" xr:uid="{6243BD2E-C399-48E9-8165-09F837A49806}"/>
    <cellStyle name="Comma 5 2 3 2 2 3" xfId="5365" xr:uid="{161B29E9-37FF-4F88-A530-A55BBAC292BB}"/>
    <cellStyle name="Comma 5 2 3 2 3" xfId="2801" xr:uid="{8CC39769-DB50-4E54-895C-ABAD1485BE5F}"/>
    <cellStyle name="Comma 5 2 3 2 3 2" xfId="6235" xr:uid="{C3AF39D6-78BB-4EC8-877E-58FF3A6560C8}"/>
    <cellStyle name="Comma 5 2 3 2 4" xfId="4495" xr:uid="{BD31F292-999B-4B15-B811-768E294AC7A8}"/>
    <cellStyle name="Comma 5 2 3 3" xfId="1660" xr:uid="{D5C2808A-87EC-41B3-A6D8-DD6B631CCB7F}"/>
    <cellStyle name="Comma 5 2 3 3 2" xfId="3229" xr:uid="{E81C46B7-234D-4562-9600-20EE7451403A}"/>
    <cellStyle name="Comma 5 2 3 3 2 2" xfId="6669" xr:uid="{A4E98772-E816-43C9-927D-AA3B2BEB5461}"/>
    <cellStyle name="Comma 5 2 3 3 3" xfId="4930" xr:uid="{C9B57D3E-BF3F-4C74-BEB1-29CE129CDB50}"/>
    <cellStyle name="Comma 5 2 3 4" xfId="792" xr:uid="{51CDBB55-DA3F-4759-8D13-069D26C2E04E}"/>
    <cellStyle name="Comma 5 2 3 4 2" xfId="5800" xr:uid="{5AEB71D4-A882-452D-9288-DAAC5ED6B4BC}"/>
    <cellStyle name="Comma 5 2 3 5" xfId="4072" xr:uid="{B2FE2EC0-2A16-4182-9415-B97C35171553}"/>
    <cellStyle name="Comma 5 2 4" xfId="1092" xr:uid="{17937723-0EA0-4F78-919D-6717CFB82715}"/>
    <cellStyle name="Comma 5 2 4 2" xfId="1869" xr:uid="{20537E53-5A50-4C52-9910-8F940F989EEA}"/>
    <cellStyle name="Comma 5 2 4 2 2" xfId="3537" xr:uid="{9E7B13E7-104A-404F-B734-F1411E50734C}"/>
    <cellStyle name="Comma 5 2 4 2 2 2" xfId="6991" xr:uid="{0808691A-CDA7-4504-B469-2777F8AB959B}"/>
    <cellStyle name="Comma 5 2 4 2 3" xfId="5252" xr:uid="{2327D43A-ECFB-4E8C-B299-E1A62A7DBFE6}"/>
    <cellStyle name="Comma 5 2 4 3" xfId="2690" xr:uid="{D34215AB-B1BF-4954-884F-33EE5D4DA91E}"/>
    <cellStyle name="Comma 5 2 4 3 2" xfId="6122" xr:uid="{2F8AFC19-41C1-4078-8083-71C871043CED}"/>
    <cellStyle name="Comma 5 2 4 4" xfId="4382" xr:uid="{121D974D-5362-4150-B7C9-60BB6F9196DF}"/>
    <cellStyle name="Comma 5 2 5" xfId="1442" xr:uid="{ED571B84-C2AF-455D-A8D0-6026D12889A0}"/>
    <cellStyle name="Comma 5 2 5 2" xfId="3120" xr:uid="{BBE78C24-769F-4B86-AB8A-54DF4384F5A6}"/>
    <cellStyle name="Comma 5 2 5 2 2" xfId="6556" xr:uid="{C90FA58A-642D-4C4C-B730-B6C44E929F7C}"/>
    <cellStyle name="Comma 5 2 5 3" xfId="4817" xr:uid="{23B1F9CA-0AAE-4704-882E-E9A8434D908A}"/>
    <cellStyle name="Comma 5 2 6" xfId="679" xr:uid="{15569F6D-606D-4625-BB8F-74D19C19003A}"/>
    <cellStyle name="Comma 5 2 6 2" xfId="5687" xr:uid="{EEF600CC-32B0-4AC9-9A23-5FB80BAF71AF}"/>
    <cellStyle name="Comma 5 2 7" xfId="3965" xr:uid="{1307B6B0-9880-458E-9040-F787D0A7CF19}"/>
    <cellStyle name="Comma 5 3" xfId="296" xr:uid="{8A244A2A-957C-40ED-A937-721EED9A969C}"/>
    <cellStyle name="Comma 5 3 2" xfId="505" xr:uid="{1B0B1452-718C-4952-9187-D688CA43CB3B}"/>
    <cellStyle name="Comma 5 3 2 2" xfId="1365" xr:uid="{6B07E5A6-E73B-4D7A-AAA6-2A654508DAD3}"/>
    <cellStyle name="Comma 5 3 2 2 2" xfId="2502" xr:uid="{84DEF6CE-E3F4-49B6-AD66-32603A6E20A5}"/>
    <cellStyle name="Comma 5 3 2 2 2 2" xfId="3807" xr:uid="{EA0E2B36-D833-44E7-96BB-707D623B705C}"/>
    <cellStyle name="Comma 5 3 2 2 2 2 2" xfId="7264" xr:uid="{17C22D55-62BD-40AA-B9B2-FBF795C70F9E}"/>
    <cellStyle name="Comma 5 3 2 2 2 3" xfId="5525" xr:uid="{E8CBC0D4-29B5-4925-855E-F703B2E6E01C}"/>
    <cellStyle name="Comma 5 3 2 2 3" xfId="2960" xr:uid="{76758CC2-4D06-41FF-ABC7-BF0387516BE9}"/>
    <cellStyle name="Comma 5 3 2 2 3 2" xfId="6395" xr:uid="{95516F1C-60AF-458E-AF8A-506C1164DB7C}"/>
    <cellStyle name="Comma 5 3 2 2 4" xfId="4655" xr:uid="{5984DB99-AE5A-470D-9458-0AAD1B114436}"/>
    <cellStyle name="Comma 5 3 2 3" xfId="1822" xr:uid="{7AB6C3E5-7085-4187-956D-1869EB18F4A9}"/>
    <cellStyle name="Comma 5 3 2 3 2" xfId="3381" xr:uid="{B5116369-A9A5-4951-89E3-3DAFBDBB72ED}"/>
    <cellStyle name="Comma 5 3 2 3 2 2" xfId="6829" xr:uid="{A53337CD-8E1B-4195-B973-C6066D95DFE7}"/>
    <cellStyle name="Comma 5 3 2 3 3" xfId="5090" xr:uid="{D85C44CA-602D-462E-A5FA-EE573CE08999}"/>
    <cellStyle name="Comma 5 3 2 4" xfId="952" xr:uid="{AD5C7938-AA47-49B3-98A1-B3042F1541E9}"/>
    <cellStyle name="Comma 5 3 2 4 2" xfId="5960" xr:uid="{C4F859B2-C32E-43D4-ACE0-EEFA4A436DF8}"/>
    <cellStyle name="Comma 5 3 2 5" xfId="4223" xr:uid="{4537F022-FA22-4F1F-9473-9F7B968F3049}"/>
    <cellStyle name="Comma 5 3 3" xfId="1158" xr:uid="{F81C3F1E-6B77-4836-82C9-79DF86F82475}"/>
    <cellStyle name="Comma 5 3 3 2" xfId="1881" xr:uid="{F5266AEA-13F7-4D4A-823A-D6B216492AAC}"/>
    <cellStyle name="Comma 5 3 3 2 2" xfId="3602" xr:uid="{F78D5514-803C-4F10-860F-109113FDF00D}"/>
    <cellStyle name="Comma 5 3 3 2 2 2" xfId="7057" xr:uid="{4F9B391F-D089-42C9-8502-84BF77F3C754}"/>
    <cellStyle name="Comma 5 3 3 2 3" xfId="5318" xr:uid="{DC115DB3-6C4C-4E43-A1E6-CEAEE99F913B}"/>
    <cellStyle name="Comma 5 3 3 3" xfId="2755" xr:uid="{9DC85D75-D96D-447D-B051-EA4BAEB37896}"/>
    <cellStyle name="Comma 5 3 3 3 2" xfId="6188" xr:uid="{EF73D2ED-4482-4135-9C20-074077BE9592}"/>
    <cellStyle name="Comma 5 3 3 4" xfId="4448" xr:uid="{B5392ABC-D7C7-40A4-B1C2-8D4D60371518}"/>
    <cellStyle name="Comma 5 3 4" xfId="1519" xr:uid="{24A38D97-BC52-4AD1-8EC0-2DEB8244773F}"/>
    <cellStyle name="Comma 5 3 4 2" xfId="3183" xr:uid="{B80FBB02-17B6-4C98-AAFA-ACBE3A6FBA23}"/>
    <cellStyle name="Comma 5 3 4 2 2" xfId="6622" xr:uid="{0214F24A-8620-46AB-87D6-C19D61D4A617}"/>
    <cellStyle name="Comma 5 3 4 3" xfId="4883" xr:uid="{3C371DA0-8633-4BB7-81C0-E4338E8CF849}"/>
    <cellStyle name="Comma 5 3 5" xfId="745" xr:uid="{C664FCF8-9633-4B09-9999-480DEC95B52B}"/>
    <cellStyle name="Comma 5 3 5 2" xfId="5753" xr:uid="{4344E14F-1709-404B-8368-9C549D697255}"/>
    <cellStyle name="Comma 5 3 6" xfId="4027" xr:uid="{6EE9149B-22A1-4173-AD9F-5F209DE8D855}"/>
    <cellStyle name="Comma 5 4" xfId="338" xr:uid="{94AA8EBC-FAF9-4575-AE8D-822B800CCEA7}"/>
    <cellStyle name="Comma 5 4 2" xfId="1203" xr:uid="{442EC067-7F76-4C76-A134-88E3DA5EF094}"/>
    <cellStyle name="Comma 5 4 2 2" xfId="2350" xr:uid="{C9466317-19D7-4DA6-A681-1025B585C76D}"/>
    <cellStyle name="Comma 5 4 2 2 2" xfId="3647" xr:uid="{947F918E-2932-4314-9D24-96539FA9F04A}"/>
    <cellStyle name="Comma 5 4 2 2 2 2" xfId="7102" xr:uid="{AD98E911-1AC7-489A-BF88-2282252CA52A}"/>
    <cellStyle name="Comma 5 4 2 2 3" xfId="5363" xr:uid="{CA7F93C6-54CF-4D84-83C4-36B6F571139D}"/>
    <cellStyle name="Comma 5 4 2 3" xfId="2800" xr:uid="{0B70EFAE-CD8C-489C-B41B-4DE61AB41082}"/>
    <cellStyle name="Comma 5 4 2 3 2" xfId="6233" xr:uid="{2F67E5C9-BDFB-4969-AAAD-A38EB66D3444}"/>
    <cellStyle name="Comma 5 4 2 4" xfId="4493" xr:uid="{FEF67BF3-BB20-46A2-8786-BA98F4978BDB}"/>
    <cellStyle name="Comma 5 4 3" xfId="1658" xr:uid="{3DA4F119-2CB2-463C-BE99-6A1A2B986541}"/>
    <cellStyle name="Comma 5 4 3 2" xfId="3227" xr:uid="{081DF5D8-1BE8-42B5-A378-C382CCBDCD8E}"/>
    <cellStyle name="Comma 5 4 3 2 2" xfId="6667" xr:uid="{033A14C6-68E8-403C-AF38-F1F27DDF9B36}"/>
    <cellStyle name="Comma 5 4 3 3" xfId="4928" xr:uid="{F19D5C4E-668A-4D27-9914-AC0D3C9BC8CC}"/>
    <cellStyle name="Comma 5 4 4" xfId="790" xr:uid="{AF46A9E0-35AA-4AC6-A88A-8A3BC297536C}"/>
    <cellStyle name="Comma 5 4 4 2" xfId="5798" xr:uid="{DE6DBB6A-D789-494C-9B0E-38A7CCB2CA1E}"/>
    <cellStyle name="Comma 5 4 5" xfId="4071" xr:uid="{51497E7D-F75A-4669-9A5F-98F2327DD9CC}"/>
    <cellStyle name="Comma 5 5" xfId="1059" xr:uid="{C45665FF-39FD-4C04-9FC6-55094A72E775}"/>
    <cellStyle name="Comma 5 5 2" xfId="1865" xr:uid="{2ABAE8E8-F0D6-4B8B-BBC4-1C977B0DFD45}"/>
    <cellStyle name="Comma 5 5 2 2" xfId="2557" xr:uid="{C5D33CB4-D003-4ED7-85E6-DFBB026459EC}"/>
    <cellStyle name="Comma 5 5 2 2 2" xfId="3863" xr:uid="{FF4B99F5-03BF-4E7F-88C9-DAC11FC98320}"/>
    <cellStyle name="Comma 5 5 2 2 2 2" xfId="7320" xr:uid="{52950581-22A4-4B53-ADBC-3F849FCFFF43}"/>
    <cellStyle name="Comma 5 5 2 2 3" xfId="5581" xr:uid="{B7808807-FD79-4F0B-AD05-3410FE8C0525}"/>
    <cellStyle name="Comma 5 5 2 3" xfId="3016" xr:uid="{1FAA1B42-BF06-4178-94BE-EE4CFC79FC78}"/>
    <cellStyle name="Comma 5 5 2 3 2" xfId="6451" xr:uid="{F9EE8A2F-9F48-4B6A-8A16-A696A02FE439}"/>
    <cellStyle name="Comma 5 5 2 4" xfId="4711" xr:uid="{46F4C3D5-0EF3-4536-AF04-029F268AB63F}"/>
    <cellStyle name="Comma 5 5 3" xfId="2165" xr:uid="{1C0F4779-9851-4AB5-B656-66D018B70EAC}"/>
    <cellStyle name="Comma 5 5 3 2" xfId="3436" xr:uid="{CCA67AAA-9333-4AD2-A0F3-267440490CE9}"/>
    <cellStyle name="Comma 5 5 3 2 2" xfId="6885" xr:uid="{03E2763C-C79A-433A-BA4A-395D60DA29A4}"/>
    <cellStyle name="Comma 5 5 3 3" xfId="5146" xr:uid="{7F46AC23-8E74-451D-90AF-84BD027EF4A8}"/>
    <cellStyle name="Comma 5 5 4" xfId="2593" xr:uid="{942D68E4-C087-4ED8-A878-B34F09097E42}"/>
    <cellStyle name="Comma 5 5 4 2" xfId="6016" xr:uid="{D371D692-C85C-4E18-8EFA-18E4F49D3417}"/>
    <cellStyle name="Comma 5 5 5" xfId="4278" xr:uid="{CB49208A-0B32-4E8A-B74B-63A48DBB3F1B}"/>
    <cellStyle name="Comma 5 6" xfId="1433" xr:uid="{B821FD24-DA13-404C-94A3-161C8D2A738D}"/>
    <cellStyle name="Comma 5 6 2" xfId="2231" xr:uid="{8336B984-8AC1-418B-B450-1B1F663E8FB2}"/>
    <cellStyle name="Comma 5 6 2 2" xfId="3504" xr:uid="{B85906AD-291E-4E23-8A26-061F194D5B5E}"/>
    <cellStyle name="Comma 5 6 2 2 2" xfId="6957" xr:uid="{48D51A4B-35F8-4477-80B8-1C3D19C30EEF}"/>
    <cellStyle name="Comma 5 6 2 3" xfId="5218" xr:uid="{54589ED8-6EF5-430F-9BCA-8116E54DF854}"/>
    <cellStyle name="Comma 5 6 3" xfId="2661" xr:uid="{A560324E-A20C-46D6-83FC-D988B22F1A8B}"/>
    <cellStyle name="Comma 5 6 3 2" xfId="6088" xr:uid="{5F509ECF-9CA0-45D6-A622-F7F730608F53}"/>
    <cellStyle name="Comma 5 6 4" xfId="4349" xr:uid="{450F84A2-674E-4236-A86C-51D41C9224CB}"/>
    <cellStyle name="Comma 5 7" xfId="645" xr:uid="{D3AEEC13-6765-4E76-8ECB-2D25E361AE87}"/>
    <cellStyle name="Comma 5 7 2" xfId="3088" xr:uid="{1D907976-94D2-4933-AC98-038689F51E4F}"/>
    <cellStyle name="Comma 5 7 2 2" xfId="6523" xr:uid="{43D436C6-2863-4469-84EC-8A29A697B323}"/>
    <cellStyle name="Comma 5 7 3" xfId="4783" xr:uid="{63DE4E8E-FC62-49DA-AA3E-1293B29B1CAF}"/>
    <cellStyle name="Comma 5 8" xfId="2567" xr:uid="{74BFF4D3-A3AA-4211-84A2-87EA218BA9E6}"/>
    <cellStyle name="Comma 5 8 2" xfId="5653" xr:uid="{65877118-8C62-4EEF-981C-34C61CB1ED5F}"/>
    <cellStyle name="Comma 5 9" xfId="3936" xr:uid="{F6D6A896-18A5-4018-B936-44805234977B}"/>
    <cellStyle name="Comma 6" xfId="211" xr:uid="{68040C6A-E9F0-42FE-9988-2CA7105AE853}"/>
    <cellStyle name="Comma 6 2" xfId="305" xr:uid="{98C89E10-98B8-4213-ADD4-D3927011C876}"/>
    <cellStyle name="Comma 6 2 2" xfId="514" xr:uid="{2567F650-EF09-4F9E-996F-C04FAE34785B}"/>
    <cellStyle name="Comma 6 2 2 2" xfId="1374" xr:uid="{A77383CB-5E14-4298-A371-7002EF5FADB7}"/>
    <cellStyle name="Comma 6 2 2 2 2" xfId="1984" xr:uid="{B35DF559-4CE3-4880-8CCE-77ABBE06B174}"/>
    <cellStyle name="Comma 6 2 2 2 2 2" xfId="3816" xr:uid="{B9C714C8-FBD1-4ECF-A067-6ED6EE91C692}"/>
    <cellStyle name="Comma 6 2 2 2 2 2 2" xfId="7273" xr:uid="{EC12CA94-EB2F-45F6-84A9-8C607A03D73B}"/>
    <cellStyle name="Comma 6 2 2 2 2 3" xfId="5534" xr:uid="{1CB60B34-AE41-45D7-B5E8-5E6CB26DA959}"/>
    <cellStyle name="Comma 6 2 2 2 3" xfId="2969" xr:uid="{B55F4992-9111-4993-AA6A-92116DBAD373}"/>
    <cellStyle name="Comma 6 2 2 2 3 2" xfId="6404" xr:uid="{A2115AA1-C40B-460F-87B7-99680A4DF2AF}"/>
    <cellStyle name="Comma 6 2 2 2 4" xfId="4664" xr:uid="{F5291211-FED7-49ED-800F-EB52FF5AC4D0}"/>
    <cellStyle name="Comma 6 2 2 3" xfId="1831" xr:uid="{051AA79D-2607-4693-9D91-CE4617B69E40}"/>
    <cellStyle name="Comma 6 2 2 3 2" xfId="2006" xr:uid="{9F08A733-F6EA-43FC-A6B5-156FA2C33211}"/>
    <cellStyle name="Comma 6 2 2 3 2 2" xfId="6838" xr:uid="{424F2528-9598-451B-9A65-A8FBFDF42F86}"/>
    <cellStyle name="Comma 6 2 2 3 3" xfId="5099" xr:uid="{FAEB8646-DAA1-4CDB-87BB-FD2274A77F2B}"/>
    <cellStyle name="Comma 6 2 2 4" xfId="961" xr:uid="{56FDD359-FB97-4227-844D-601BDBDBFA4A}"/>
    <cellStyle name="Comma 6 2 2 4 2" xfId="5969" xr:uid="{64933245-F848-44E6-B05F-923A4E3F3A40}"/>
    <cellStyle name="Comma 6 2 2 5" xfId="581" xr:uid="{919C7C14-34B9-4C60-8A73-98285B9C2C8E}"/>
    <cellStyle name="Comma 6 2 2 6" xfId="1970" xr:uid="{57436577-EF1C-4641-994E-A867CA2C5543}"/>
    <cellStyle name="Comma 6 2 3" xfId="1167" xr:uid="{F5B12922-701E-4FB8-A0BF-219CFF951189}"/>
    <cellStyle name="Comma 6 2 3 2" xfId="1974" xr:uid="{84FF1590-763C-427F-BBE9-72DBA0CCD51A}"/>
    <cellStyle name="Comma 6 2 3 2 2" xfId="3611" xr:uid="{07A0E58B-6CEB-45E8-ADA0-14A77F83D376}"/>
    <cellStyle name="Comma 6 2 3 2 2 2" xfId="7066" xr:uid="{E94ED98D-0F7D-4A19-BF54-2A4B4BD7B7DA}"/>
    <cellStyle name="Comma 6 2 3 2 3" xfId="5327" xr:uid="{7FDA7166-2AFF-402C-8DC1-F682D9592B83}"/>
    <cellStyle name="Comma 6 2 3 3" xfId="2764" xr:uid="{E55E1CAA-C0E4-4115-93AC-C8FADA8A72BE}"/>
    <cellStyle name="Comma 6 2 3 3 2" xfId="6197" xr:uid="{A61124D1-C095-419B-96DC-6D598510355B}"/>
    <cellStyle name="Comma 6 2 3 4" xfId="4457" xr:uid="{B2A6F0AD-8951-42FC-B518-D4242AB94370}"/>
    <cellStyle name="Comma 6 2 4" xfId="1635" xr:uid="{8E4BADCB-E2F4-4E1F-A73F-3E93D8BA05F7}"/>
    <cellStyle name="Comma 6 2 4 2" xfId="1995" xr:uid="{AF2731A1-9250-4013-9C93-8B0302A00709}"/>
    <cellStyle name="Comma 6 2 4 2 2" xfId="6631" xr:uid="{CCFB9776-3D38-4B18-8153-8FEB0AC9EC7C}"/>
    <cellStyle name="Comma 6 2 4 3" xfId="4892" xr:uid="{A9140F3F-1308-406E-A236-0A1F45D7798D}"/>
    <cellStyle name="Comma 6 2 5" xfId="754" xr:uid="{0698CCA0-9FBA-47A5-BD49-125C0CBB66F0}"/>
    <cellStyle name="Comma 6 2 5 2" xfId="5762" xr:uid="{155CB694-8F02-45EA-AF59-50ACB8387352}"/>
    <cellStyle name="Comma 6 2 6" xfId="567" xr:uid="{C06938EB-1F27-4377-AB67-C8F06E7A3D46}"/>
    <cellStyle name="Comma 6 2 7" xfId="1956" xr:uid="{21FC8F15-AEDC-41B3-BCF5-C6BC5CD1B302}"/>
    <cellStyle name="Comma 6 3" xfId="416" xr:uid="{9AE34904-2E4C-432F-BED6-FC5AFB9E11DC}"/>
    <cellStyle name="Comma 6 3 2" xfId="1276" xr:uid="{504F8C18-FE20-482B-ABEC-FF1DE64D1080}"/>
    <cellStyle name="Comma 6 3 2 2" xfId="1979" xr:uid="{DC99749E-4E41-405B-9009-E833642970F2}"/>
    <cellStyle name="Comma 6 3 2 2 2" xfId="3718" xr:uid="{5BF4F731-42FD-477A-9233-57848479A1ED}"/>
    <cellStyle name="Comma 6 3 2 2 2 2" xfId="7175" xr:uid="{D67BB8E1-6A44-4B0F-AAE8-3D95E58661AD}"/>
    <cellStyle name="Comma 6 3 2 2 3" xfId="5436" xr:uid="{869F20AF-15FB-41A4-B388-4A6E252C2D0E}"/>
    <cellStyle name="Comma 6 3 2 3" xfId="2871" xr:uid="{4DF90518-9FF9-4C94-87CF-1F6189DDD73B}"/>
    <cellStyle name="Comma 6 3 2 3 2" xfId="6306" xr:uid="{C62A08B3-53D4-492E-BA6F-57A090081BD0}"/>
    <cellStyle name="Comma 6 3 2 4" xfId="4566" xr:uid="{60A257AC-F926-4975-9ACD-C47194CEA3A6}"/>
    <cellStyle name="Comma 6 3 3" xfId="1733" xr:uid="{9D8EC178-EE41-4185-98E1-58CA4C9BB5A6}"/>
    <cellStyle name="Comma 6 3 3 2" xfId="2001" xr:uid="{863EA23D-012C-49A4-99D0-80EA2271D09E}"/>
    <cellStyle name="Comma 6 3 3 2 2" xfId="6740" xr:uid="{78895C40-6ECC-449B-BFF8-5CAF55C692E9}"/>
    <cellStyle name="Comma 6 3 3 3" xfId="5001" xr:uid="{99D66FF2-F8E6-404C-A504-4EAF0EECBD86}"/>
    <cellStyle name="Comma 6 3 4" xfId="863" xr:uid="{FE3D562A-488E-4B80-8FEB-EAE9F00351BD}"/>
    <cellStyle name="Comma 6 3 4 2" xfId="5871" xr:uid="{20DAD3ED-B7F4-497D-97CD-E2011139A28A}"/>
    <cellStyle name="Comma 6 3 5" xfId="576" xr:uid="{C2AA548F-B227-442F-9D5B-D00AD151A793}"/>
    <cellStyle name="Comma 6 3 6" xfId="1965" xr:uid="{438E8CD8-1435-486F-B34E-414867624BC1}"/>
    <cellStyle name="Comma 6 4" xfId="1067" xr:uid="{2BB604A8-E968-4A0D-A178-63686ADF7808}"/>
    <cellStyle name="Comma 6 4 2" xfId="1570" xr:uid="{7A92EB83-4805-4750-B30D-158092B97C15}"/>
    <cellStyle name="Comma 6 4 2 2" xfId="1990" xr:uid="{B698798F-DF20-4517-8E1D-0F480FFDDCC6}"/>
    <cellStyle name="Comma 6 4 2 2 2" xfId="6966" xr:uid="{5778BEAE-EA6E-490F-8594-387284356EF1}"/>
    <cellStyle name="Comma 6 4 2 3" xfId="5227" xr:uid="{A35FB323-251D-4D05-B4AB-CF52C989AD79}"/>
    <cellStyle name="Comma 6 4 3" xfId="1951" xr:uid="{B0364DD1-85FB-4910-BA78-C68F5AD68169}"/>
    <cellStyle name="Comma 6 4 3 2" xfId="6097" xr:uid="{7769C4FA-E50E-40AB-B4C8-EB9786595213}"/>
    <cellStyle name="Comma 6 4 4" xfId="4357" xr:uid="{BD0C8110-CA17-45C2-8072-6E45CDD1DC97}"/>
    <cellStyle name="Comma 6 5" xfId="1885" xr:uid="{CEC5A4AE-B665-4FFB-B267-0F1AE955C39D}"/>
    <cellStyle name="Comma 6 5 2" xfId="3097" xr:uid="{1AAE3F33-B975-4026-B771-ADE6D3843B55}"/>
    <cellStyle name="Comma 6 5 2 2" xfId="6532" xr:uid="{07B4F4C1-DD96-4E98-9EF4-67BE841EA392}"/>
    <cellStyle name="Comma 6 5 3" xfId="4792" xr:uid="{31FCE350-923B-48C2-B808-BF54833335B7}"/>
    <cellStyle name="Comma 6 6" xfId="1526" xr:uid="{20FE5A52-7B15-4B6C-9028-B6DB8F424950}"/>
    <cellStyle name="Comma 6 6 2" xfId="5662" xr:uid="{E4340CDD-9014-4A2D-9BD9-27C9A91AF682}"/>
    <cellStyle name="Comma 6 7" xfId="654" xr:uid="{6EDEB669-A222-4696-B0E1-7CE196CD67D6}"/>
    <cellStyle name="Comma 6 8" xfId="562" xr:uid="{E00A4C52-28D5-4B38-A1BC-97F31A5EA667}"/>
    <cellStyle name="Comma 7" xfId="214" xr:uid="{1018C5D3-C907-45A1-BDCD-7DD3296474A3}"/>
    <cellStyle name="Comma 7 2" xfId="309" xr:uid="{28FEFD31-A5CC-45A2-9625-87AA612200E0}"/>
    <cellStyle name="Comma 7 2 2" xfId="518" xr:uid="{1CA51A23-9349-4011-AD04-58FCFD82EE7E}"/>
    <cellStyle name="Comma 7 2 2 2" xfId="1378" xr:uid="{988CBA91-CD7D-40A5-941C-3FB383F7EB0E}"/>
    <cellStyle name="Comma 7 2 2 2 2" xfId="2514" xr:uid="{EE657C17-82B8-43D7-8061-07435748B138}"/>
    <cellStyle name="Comma 7 2 2 2 2 2" xfId="3820" xr:uid="{39AF9F51-C31D-4AFB-BC83-361EC6D4D2FA}"/>
    <cellStyle name="Comma 7 2 2 2 2 2 2" xfId="7277" xr:uid="{2D7067E5-5384-4C39-AC62-12CA88090190}"/>
    <cellStyle name="Comma 7 2 2 2 2 3" xfId="5538" xr:uid="{B3FEE82C-39AD-45F1-81FA-7D140F90EA9D}"/>
    <cellStyle name="Comma 7 2 2 2 3" xfId="2973" xr:uid="{7A25F8E3-598B-4202-9A68-5D8530111F69}"/>
    <cellStyle name="Comma 7 2 2 2 3 2" xfId="6408" xr:uid="{49119817-2D45-4D87-A0FD-9480EDA90954}"/>
    <cellStyle name="Comma 7 2 2 2 4" xfId="4668" xr:uid="{5576D815-477D-4F8D-9C95-9BF45EC357E2}"/>
    <cellStyle name="Comma 7 2 2 3" xfId="1835" xr:uid="{9E70C431-E0EF-4AB6-A6C4-D74E3593F5C5}"/>
    <cellStyle name="Comma 7 2 2 3 2" xfId="3393" xr:uid="{E39F1EBD-CD64-45D4-9983-281694B06D0A}"/>
    <cellStyle name="Comma 7 2 2 3 2 2" xfId="6842" xr:uid="{F49CEAA1-1EFC-4C57-B3BB-52D88FEC5750}"/>
    <cellStyle name="Comma 7 2 2 3 3" xfId="5103" xr:uid="{9B92AE95-1CAF-4587-8CAE-532C334812F4}"/>
    <cellStyle name="Comma 7 2 2 4" xfId="965" xr:uid="{095A871E-6D50-4CB5-AB02-217BE7840FEE}"/>
    <cellStyle name="Comma 7 2 2 4 2" xfId="5973" xr:uid="{35812EC4-7D63-49D2-BB81-2EBD86B7C169}"/>
    <cellStyle name="Comma 7 2 2 5" xfId="4235" xr:uid="{64861C06-0650-43E8-A9A5-27AD34232DD0}"/>
    <cellStyle name="Comma 7 2 3" xfId="1171" xr:uid="{99DB437F-84C6-44A7-AAC4-E7DA6AA4FBFA}"/>
    <cellStyle name="Comma 7 2 3 2" xfId="1886" xr:uid="{2DB2F3DD-BF2F-4769-84AD-3FD586F5DB87}"/>
    <cellStyle name="Comma 7 2 3 2 2" xfId="3615" xr:uid="{0359437F-4E5E-4B01-A5EE-562346AA72A5}"/>
    <cellStyle name="Comma 7 2 3 2 2 2" xfId="7070" xr:uid="{E8A05897-38A5-42BD-9E9E-A0F7D6C864ED}"/>
    <cellStyle name="Comma 7 2 3 2 3" xfId="5331" xr:uid="{4D96F321-C972-4AF4-9B1E-ACC6BA8C27CC}"/>
    <cellStyle name="Comma 7 2 3 3" xfId="2768" xr:uid="{5DC3F9FC-93A4-4D86-88E1-B34AE0DD6573}"/>
    <cellStyle name="Comma 7 2 3 3 2" xfId="6201" xr:uid="{72EED0DF-8BE6-4C60-B84B-35B4CBA67CD4}"/>
    <cellStyle name="Comma 7 2 3 4" xfId="4461" xr:uid="{65AD2E67-4FD0-492F-8395-F37ACFFE72D4}"/>
    <cellStyle name="Comma 7 2 4" xfId="1530" xr:uid="{33DAEB0C-1764-48D7-82EB-76CAF65549D3}"/>
    <cellStyle name="Comma 7 2 4 2" xfId="3195" xr:uid="{E3F72AD2-C909-4F43-B386-76CBB387358B}"/>
    <cellStyle name="Comma 7 2 4 2 2" xfId="6635" xr:uid="{C2A34F32-9820-4362-BB4C-A47D04D5A0F4}"/>
    <cellStyle name="Comma 7 2 4 3" xfId="4896" xr:uid="{A74C0292-F082-4B3A-BC9A-FBBB02C34790}"/>
    <cellStyle name="Comma 7 2 5" xfId="758" xr:uid="{0CD94865-89BF-42C1-B114-BDD46B6B8E10}"/>
    <cellStyle name="Comma 7 2 5 2" xfId="5766" xr:uid="{A49899EC-10FC-4487-B3BF-5AE6B1C81A59}"/>
    <cellStyle name="Comma 7 2 6" xfId="4039" xr:uid="{C056CF6F-E276-466E-90FA-93E4093F1278}"/>
    <cellStyle name="Comma 7 3" xfId="420" xr:uid="{5F563C4A-4151-459B-AFA7-79E766304131}"/>
    <cellStyle name="Comma 7 3 2" xfId="1280" xr:uid="{FB0DAB1F-5131-427C-9084-6505B677FA79}"/>
    <cellStyle name="Comma 7 3 2 2" xfId="2421" xr:uid="{DEF4EBBF-E781-47C4-8A71-9840DD70F4C3}"/>
    <cellStyle name="Comma 7 3 2 2 2" xfId="3722" xr:uid="{31E6DF20-0E4E-4844-BE6B-27564DEE72C4}"/>
    <cellStyle name="Comma 7 3 2 2 2 2" xfId="7179" xr:uid="{2A70481C-5FC1-4932-B62E-FEDB3FBB5A27}"/>
    <cellStyle name="Comma 7 3 2 2 3" xfId="5440" xr:uid="{E9B4FA9D-E9E6-488F-B3F3-E272A9DCD240}"/>
    <cellStyle name="Comma 7 3 2 3" xfId="2875" xr:uid="{C9F78C04-7133-45C8-882B-C9405B709AE6}"/>
    <cellStyle name="Comma 7 3 2 3 2" xfId="6310" xr:uid="{C6D711C1-797D-4176-9F7B-2F9BC2F07A6F}"/>
    <cellStyle name="Comma 7 3 2 4" xfId="4570" xr:uid="{483933B3-0E87-4E1B-A793-7C3757384236}"/>
    <cellStyle name="Comma 7 3 3" xfId="1737" xr:uid="{AB154629-92AF-4CA8-850E-9150B63D9B12}"/>
    <cellStyle name="Comma 7 3 3 2" xfId="3300" xr:uid="{8C1F8E9F-C55B-4829-A229-9850D0F29F2D}"/>
    <cellStyle name="Comma 7 3 3 2 2" xfId="6744" xr:uid="{B0BC2E38-3ECA-4FB5-A6C4-797F707F43D0}"/>
    <cellStyle name="Comma 7 3 3 3" xfId="5005" xr:uid="{9E8A7BB6-1EEC-4B7C-834C-67EB1890BF2C}"/>
    <cellStyle name="Comma 7 3 4" xfId="867" xr:uid="{53176B5A-285C-44DA-AAF3-76A81401E4B1}"/>
    <cellStyle name="Comma 7 3 4 2" xfId="5875" xr:uid="{ADC3D5E0-5A7D-454E-AB30-5BF0DC709DEF}"/>
    <cellStyle name="Comma 7 3 5" xfId="4142" xr:uid="{8898A226-C2B7-40A0-B7BE-368D5BB8CF89}"/>
    <cellStyle name="Comma 7 4" xfId="1071" xr:uid="{B5EC3E51-6B66-4393-B8E7-7079F78D052F}"/>
    <cellStyle name="Comma 7 4 2" xfId="1863" xr:uid="{DABBF88B-A7A3-4CD5-880A-482D53E8B55C}"/>
    <cellStyle name="Comma 7 4 2 2" xfId="2549" xr:uid="{CE58607C-1064-4B1F-8491-456D49A98875}"/>
    <cellStyle name="Comma 7 4 2 2 2" xfId="3855" xr:uid="{B77E3223-0512-4FAF-AA33-93328BEADAD3}"/>
    <cellStyle name="Comma 7 4 2 2 2 2" xfId="7312" xr:uid="{B2FFF7A3-43A5-4B13-97F3-120A8B7F39B4}"/>
    <cellStyle name="Comma 7 4 2 2 3" xfId="5573" xr:uid="{70923336-0019-47A9-BE43-E7C63526DAB8}"/>
    <cellStyle name="Comma 7 4 2 3" xfId="3008" xr:uid="{E06378CB-F05C-4833-AF7A-9BBD1774369B}"/>
    <cellStyle name="Comma 7 4 2 3 2" xfId="6443" xr:uid="{050D6B5A-8B0C-44AD-BD48-23FFF972EC97}"/>
    <cellStyle name="Comma 7 4 2 4" xfId="4703" xr:uid="{4CD951B9-EC75-4195-8461-652173217D5E}"/>
    <cellStyle name="Comma 7 4 3" xfId="2160" xr:uid="{F4D02603-7C1F-4D2B-85FB-E90DF9949E3E}"/>
    <cellStyle name="Comma 7 4 3 2" xfId="3428" xr:uid="{4CC0509D-86CC-49CE-ACBA-C7AEFAEF2EE7}"/>
    <cellStyle name="Comma 7 4 3 2 2" xfId="6877" xr:uid="{B1BAFE6B-BB79-4FF3-8DCC-B1FBF8834164}"/>
    <cellStyle name="Comma 7 4 3 3" xfId="5138" xr:uid="{155A625E-F79C-4321-BDC9-3966B17940B6}"/>
    <cellStyle name="Comma 7 4 4" xfId="2586" xr:uid="{4F0153D1-79A0-4F9D-90C7-494F4A5CBBDE}"/>
    <cellStyle name="Comma 7 4 4 2" xfId="6008" xr:uid="{AF092364-D9CF-4F54-9AE0-1D69E14ABEE1}"/>
    <cellStyle name="Comma 7 4 5" xfId="4270" xr:uid="{930DDA0F-0212-459B-BFE1-981611A97042}"/>
    <cellStyle name="Comma 7 5" xfId="1427" xr:uid="{DCC97769-2FBD-4519-BD25-4C273AADBE92}"/>
    <cellStyle name="Comma 7 5 2" xfId="2238" xr:uid="{4F5DAC9E-F43A-47A6-80EC-C845B65DB4DD}"/>
    <cellStyle name="Comma 7 5 2 2" xfId="3516" xr:uid="{5227DBBD-E070-4A4C-BA09-10A9836AE95B}"/>
    <cellStyle name="Comma 7 5 2 2 2" xfId="6970" xr:uid="{7B1E1A77-FE37-4BE8-B263-F8B73B6A5986}"/>
    <cellStyle name="Comma 7 5 2 3" xfId="5231" xr:uid="{F8DA9273-795E-4D61-8112-D517AC08FC84}"/>
    <cellStyle name="Comma 7 5 3" xfId="2669" xr:uid="{208C2E2D-B002-4272-A444-73AF810C5D78}"/>
    <cellStyle name="Comma 7 5 3 2" xfId="6101" xr:uid="{9E7009DD-DB70-43EB-A0E8-6ABCA7BE8B16}"/>
    <cellStyle name="Comma 7 5 4" xfId="4361" xr:uid="{2088B370-32F2-4444-8E56-B034725CA04A}"/>
    <cellStyle name="Comma 7 6" xfId="658" xr:uid="{BDD083FF-3D12-466B-AA0B-8CC4D4C710D9}"/>
    <cellStyle name="Comma 7 6 2" xfId="3101" xr:uid="{D15B80FE-09A1-4D70-9553-EFDEED17ED39}"/>
    <cellStyle name="Comma 7 6 2 2" xfId="6536" xr:uid="{88CA69CE-5867-48A0-8780-0D6CE93BC1E0}"/>
    <cellStyle name="Comma 7 6 3" xfId="4796" xr:uid="{FB5DE97D-7C34-4676-A61C-FC8851F65BA5}"/>
    <cellStyle name="Comma 7 7" xfId="2570" xr:uid="{7BD14A7B-C22E-4F59-BA88-3178499CB304}"/>
    <cellStyle name="Comma 7 7 2" xfId="5666" xr:uid="{FAB88B05-4234-4BD4-9499-664BE6E17504}"/>
    <cellStyle name="Comma 7 8" xfId="3944" xr:uid="{54EFE6DB-6A5B-440E-84D1-DC64682E3851}"/>
    <cellStyle name="Comma 8" xfId="209" xr:uid="{71B467BE-4968-4BBE-8D9A-B558EFBB6103}"/>
    <cellStyle name="Comma 8 2" xfId="221" xr:uid="{2058709C-3E3D-49BD-89C0-F5CF39383449}"/>
    <cellStyle name="Comma 8 2 2" xfId="312" xr:uid="{21E9E729-BB46-4493-9A93-1DA338158ED4}"/>
    <cellStyle name="Comma 8 2 2 2" xfId="522" xr:uid="{6A5A3F81-6ADD-4A29-9387-4494EDCE1BCF}"/>
    <cellStyle name="Comma 8 2 2 2 2" xfId="1382" xr:uid="{441AA458-B1EE-462C-B811-66783ABA2E30}"/>
    <cellStyle name="Comma 8 2 2 2 2 2" xfId="2518" xr:uid="{043153F5-CF5C-49C1-A41C-562F7BC604B3}"/>
    <cellStyle name="Comma 8 2 2 2 2 2 2" xfId="3824" xr:uid="{3DC234D9-57E8-4FF2-B27B-E186DAD31593}"/>
    <cellStyle name="Comma 8 2 2 2 2 2 2 2" xfId="7281" xr:uid="{5A284833-F2C5-4C7E-8886-BD25061AC74C}"/>
    <cellStyle name="Comma 8 2 2 2 2 2 3" xfId="5542" xr:uid="{D79A95DC-660E-4B58-BDFA-473FE8DA4765}"/>
    <cellStyle name="Comma 8 2 2 2 2 3" xfId="2977" xr:uid="{F86EC23E-BE76-4775-8E5D-5D2B6C21F49A}"/>
    <cellStyle name="Comma 8 2 2 2 2 3 2" xfId="6412" xr:uid="{1D11CA61-0CBD-47A8-955E-72EC3D86478B}"/>
    <cellStyle name="Comma 8 2 2 2 2 4" xfId="4672" xr:uid="{2B1F4FC2-F89F-43C4-A44C-B61AAC7E9939}"/>
    <cellStyle name="Comma 8 2 2 2 3" xfId="1839" xr:uid="{11A8D507-8A43-4545-B0DD-5FA0E8642576}"/>
    <cellStyle name="Comma 8 2 2 2 3 2" xfId="3397" xr:uid="{85E614DF-A275-4727-B8E2-805FA7E12044}"/>
    <cellStyle name="Comma 8 2 2 2 3 2 2" xfId="6846" xr:uid="{DB979C55-CA9E-4676-A64D-F08E4A36B862}"/>
    <cellStyle name="Comma 8 2 2 2 3 3" xfId="5107" xr:uid="{6EE14DEF-613D-4C39-86C9-F35A848ED0CD}"/>
    <cellStyle name="Comma 8 2 2 2 4" xfId="969" xr:uid="{7DCCC913-68C7-4B74-821D-6A67DBB86D2C}"/>
    <cellStyle name="Comma 8 2 2 2 4 2" xfId="5977" xr:uid="{85FA213C-85CC-4D43-9077-4884B0BCDD53}"/>
    <cellStyle name="Comma 8 2 2 2 5" xfId="4239" xr:uid="{D82E5900-3376-429C-B4BD-C32917FF56A9}"/>
    <cellStyle name="Comma 8 2 2 3" xfId="1175" xr:uid="{786F470D-05D0-47F1-B6A5-000905B24626}"/>
    <cellStyle name="Comma 8 2 2 3 2" xfId="2326" xr:uid="{28DE0F14-7B8E-4FB8-A88C-0565A705DDC8}"/>
    <cellStyle name="Comma 8 2 2 3 2 2" xfId="3619" xr:uid="{AE55CC6B-3D29-4F6F-849E-5DC446DF8BC0}"/>
    <cellStyle name="Comma 8 2 2 3 2 2 2" xfId="7074" xr:uid="{531677F3-F872-4357-87E3-EA306CC6ED1C}"/>
    <cellStyle name="Comma 8 2 2 3 2 3" xfId="5335" xr:uid="{CDB7F0F4-83D4-43C2-9AE9-F4994811BD9E}"/>
    <cellStyle name="Comma 8 2 2 3 3" xfId="2772" xr:uid="{96CC392B-B4DE-47AD-B7AB-4CE791E579FF}"/>
    <cellStyle name="Comma 8 2 2 3 3 2" xfId="6205" xr:uid="{4101FC12-BBA4-467D-9E2B-F82F467B71CC}"/>
    <cellStyle name="Comma 8 2 2 3 4" xfId="4465" xr:uid="{72F5FA47-FF6C-47C2-9EFC-85ABAED32FAC}"/>
    <cellStyle name="Comma 8 2 2 4" xfId="1639" xr:uid="{EA4522EC-0DB0-43AA-B378-F3C1BF0C48B8}"/>
    <cellStyle name="Comma 8 2 2 4 2" xfId="3199" xr:uid="{F5C73075-8BD6-44D7-945F-221731E2993D}"/>
    <cellStyle name="Comma 8 2 2 4 2 2" xfId="6639" xr:uid="{E0BF9E5E-A16F-41C3-A5B1-40C949779F2A}"/>
    <cellStyle name="Comma 8 2 2 4 3" xfId="4900" xr:uid="{31EF5CC3-78AC-4F3C-9379-694A34F4D457}"/>
    <cellStyle name="Comma 8 2 2 5" xfId="762" xr:uid="{45A942B1-1A1C-49A9-AA93-5D32EABCD4CC}"/>
    <cellStyle name="Comma 8 2 2 5 2" xfId="5770" xr:uid="{DAD741FF-A761-4656-AE18-5EAEFC2BBC1B}"/>
    <cellStyle name="Comma 8 2 2 6" xfId="4043" xr:uid="{CAC19A3C-A593-479F-8D70-C513802F9937}"/>
    <cellStyle name="Comma 8 2 3" xfId="424" xr:uid="{710B9A61-CC95-4C71-BF85-F5FE2DEE13BA}"/>
    <cellStyle name="Comma 8 2 3 2" xfId="1284" xr:uid="{DF5F1D55-5AED-4D45-939B-FE1BB48E60DD}"/>
    <cellStyle name="Comma 8 2 3 2 2" xfId="2425" xr:uid="{59907670-903A-4426-BD65-D13D4992F0C5}"/>
    <cellStyle name="Comma 8 2 3 2 2 2" xfId="3726" xr:uid="{53361F99-0D69-4013-8A47-354DA11323E3}"/>
    <cellStyle name="Comma 8 2 3 2 2 2 2" xfId="7183" xr:uid="{423D7F47-F7A1-4994-A72D-993CA850FA92}"/>
    <cellStyle name="Comma 8 2 3 2 2 3" xfId="5444" xr:uid="{5449EC57-6EC3-4F6A-8191-AB01143DE55B}"/>
    <cellStyle name="Comma 8 2 3 2 3" xfId="2879" xr:uid="{CC55A5B4-6982-42A8-B82E-DFCA4F0EA1F7}"/>
    <cellStyle name="Comma 8 2 3 2 3 2" xfId="6314" xr:uid="{43E343D8-86E3-4744-92CA-01F4D87EA7B7}"/>
    <cellStyle name="Comma 8 2 3 2 4" xfId="4574" xr:uid="{8AE2D830-021A-4A38-9B1A-E8DCB1A8E3E0}"/>
    <cellStyle name="Comma 8 2 3 3" xfId="1741" xr:uid="{0EE28A96-5F15-4045-9463-668333CD804D}"/>
    <cellStyle name="Comma 8 2 3 3 2" xfId="3304" xr:uid="{562A755B-F6A2-4365-8D37-D22D9E379FD9}"/>
    <cellStyle name="Comma 8 2 3 3 2 2" xfId="6748" xr:uid="{79713630-558A-4B29-A661-A48393C3A50E}"/>
    <cellStyle name="Comma 8 2 3 3 3" xfId="5009" xr:uid="{3CC28193-5AB2-473E-9562-9E8648BDBBE4}"/>
    <cellStyle name="Comma 8 2 3 4" xfId="871" xr:uid="{96D183F5-8F70-44AF-A628-2608D34DB7E5}"/>
    <cellStyle name="Comma 8 2 3 4 2" xfId="5879" xr:uid="{45B749E0-F319-4C33-A16B-4E8EFDF872EC}"/>
    <cellStyle name="Comma 8 2 3 5" xfId="4146" xr:uid="{8EAFBB2F-EA3A-49FE-AF68-294BE550CDA3}"/>
    <cellStyle name="Comma 8 2 4" xfId="1075" xr:uid="{31B70D82-4AF2-4E66-8F1D-D7FF5D0665DF}"/>
    <cellStyle name="Comma 8 2 4 2" xfId="1888" xr:uid="{D561A2B1-B862-4C92-9F91-8D02D874053D}"/>
    <cellStyle name="Comma 8 2 4 2 2" xfId="3520" xr:uid="{887E501A-038A-4ECA-B696-F96EFC975D75}"/>
    <cellStyle name="Comma 8 2 4 2 2 2" xfId="6974" xr:uid="{BD55F9EE-4C71-407A-98B8-9297FBEF465C}"/>
    <cellStyle name="Comma 8 2 4 2 3" xfId="5235" xr:uid="{07E3D98E-FCFB-44B4-A957-DD1D660038C6}"/>
    <cellStyle name="Comma 8 2 4 3" xfId="2673" xr:uid="{B0FC2C07-6605-4820-A684-A9020B876B86}"/>
    <cellStyle name="Comma 8 2 4 3 2" xfId="6105" xr:uid="{FCDE9A18-8878-4D30-A057-7CF9F80423AF}"/>
    <cellStyle name="Comma 8 2 4 4" xfId="4365" xr:uid="{708DBBFE-E1F3-4655-B7EB-768705126FCA}"/>
    <cellStyle name="Comma 8 2 5" xfId="1535" xr:uid="{A5CBA5E5-E164-4738-A7E4-34726E3DC4F9}"/>
    <cellStyle name="Comma 8 2 5 2" xfId="3105" xr:uid="{52D27089-53EB-4DC6-894F-335C20624892}"/>
    <cellStyle name="Comma 8 2 5 2 2" xfId="6540" xr:uid="{F9967E19-87B4-473C-858E-37CF9603A938}"/>
    <cellStyle name="Comma 8 2 5 3" xfId="4800" xr:uid="{BC2CDCCA-060B-4892-991C-BE378D2B7687}"/>
    <cellStyle name="Comma 8 2 6" xfId="662" xr:uid="{34206BE9-5B30-439A-B645-DCEC7962F902}"/>
    <cellStyle name="Comma 8 2 6 2" xfId="5670" xr:uid="{E1FD4FE0-1E61-4BFF-B6B3-E3471DE8A474}"/>
    <cellStyle name="Comma 8 2 7" xfId="3948" xr:uid="{B431AF7B-01B8-4240-BA07-D97F1CEA1446}"/>
    <cellStyle name="Comma 8 3" xfId="114" xr:uid="{F3AA36E4-8B86-48B8-953E-65949D1A0415}"/>
    <cellStyle name="Comma 8 3 2" xfId="318" xr:uid="{0C1CA1AA-8072-4692-8CA6-94F5FC46837A}"/>
    <cellStyle name="Comma 8 3 2 2" xfId="528" xr:uid="{4AB837C8-D4FF-4BBA-BE1C-D7A3AA3A623B}"/>
    <cellStyle name="Comma 8 3 2 2 2" xfId="1388" xr:uid="{97AFDAAF-072B-414F-A1D6-233AEDC52ADD}"/>
    <cellStyle name="Comma 8 3 2 2 2 2" xfId="2524" xr:uid="{112703B2-0C92-4C8C-B44F-3558B265FFA3}"/>
    <cellStyle name="Comma 8 3 2 2 2 2 2" xfId="3830" xr:uid="{A5CF5614-5850-4C1E-BBE8-659A495EF9C6}"/>
    <cellStyle name="Comma 8 3 2 2 2 2 2 2" xfId="7287" xr:uid="{9D047F2F-9B2D-481E-A6C2-461C6BE26F2B}"/>
    <cellStyle name="Comma 8 3 2 2 2 2 3" xfId="5548" xr:uid="{EBB49A9E-7493-4EA7-BF9C-4825AB08E3F7}"/>
    <cellStyle name="Comma 8 3 2 2 2 3" xfId="2983" xr:uid="{7D1C1BEF-A982-42CC-BE46-052C7B7D8770}"/>
    <cellStyle name="Comma 8 3 2 2 2 3 2" xfId="6418" xr:uid="{959456AC-C013-41C8-A235-2D06689074B0}"/>
    <cellStyle name="Comma 8 3 2 2 2 4" xfId="4678" xr:uid="{18BBC655-DBB2-4AD2-AE71-EF110AA18740}"/>
    <cellStyle name="Comma 8 3 2 2 3" xfId="1845" xr:uid="{C631E286-B18F-4CF2-8742-A72058B54F8F}"/>
    <cellStyle name="Comma 8 3 2 2 3 2" xfId="3403" xr:uid="{7DEBF0FF-BA66-4CE6-A0C5-98A4EADF9784}"/>
    <cellStyle name="Comma 8 3 2 2 3 2 2" xfId="6852" xr:uid="{48CBA140-A438-4A87-9697-E86C64B99680}"/>
    <cellStyle name="Comma 8 3 2 2 3 3" xfId="5113" xr:uid="{558EE62D-3738-4DCA-A01C-FCC529B79010}"/>
    <cellStyle name="Comma 8 3 2 2 4" xfId="975" xr:uid="{6547698B-6AA8-4456-A318-1EAF35DA632F}"/>
    <cellStyle name="Comma 8 3 2 2 4 2" xfId="5983" xr:uid="{6FC99408-85D5-49FD-9884-2DECCAC6380D}"/>
    <cellStyle name="Comma 8 3 2 2 5" xfId="4245" xr:uid="{C9F5FBA6-73CF-42C1-B6F6-2BF19F6ACBBB}"/>
    <cellStyle name="Comma 8 3 2 3" xfId="1181" xr:uid="{8031F945-DC5B-459A-B1BF-DC9A61EF72F3}"/>
    <cellStyle name="Comma 8 3 2 3 2" xfId="1890" xr:uid="{55C59571-2706-4BDF-AE84-A5E20657D157}"/>
    <cellStyle name="Comma 8 3 2 3 2 2" xfId="3625" xr:uid="{8E4420A8-E117-4714-8454-3D4B0B942DCE}"/>
    <cellStyle name="Comma 8 3 2 3 2 2 2" xfId="7080" xr:uid="{9108F1AE-F69F-4CA0-9808-DEFE9705500B}"/>
    <cellStyle name="Comma 8 3 2 3 2 3" xfId="5341" xr:uid="{9EF20F88-7766-456F-8CC9-06D5CD669860}"/>
    <cellStyle name="Comma 8 3 2 3 3" xfId="2778" xr:uid="{A9EB4538-678B-4124-9F3F-A8F2829F06FF}"/>
    <cellStyle name="Comma 8 3 2 3 3 2" xfId="6211" xr:uid="{D4EED775-8831-482A-8C8E-8CADE815FBBD}"/>
    <cellStyle name="Comma 8 3 2 3 4" xfId="4471" xr:uid="{D63F1BBF-9E75-4964-9DFF-5151DE0D6CA1}"/>
    <cellStyle name="Comma 8 3 2 4" xfId="1541" xr:uid="{16E2777C-1259-4B07-9CAF-98BA53E6A05B}"/>
    <cellStyle name="Comma 8 3 2 4 2" xfId="3205" xr:uid="{F3A2FF2D-D83E-4F89-915D-7D24EE732F91}"/>
    <cellStyle name="Comma 8 3 2 4 2 2" xfId="6645" xr:uid="{5B23EA66-9291-4AE5-90F5-0950DFC55907}"/>
    <cellStyle name="Comma 8 3 2 4 3" xfId="4906" xr:uid="{5729CA99-E778-403C-AD0B-DBDC834052B7}"/>
    <cellStyle name="Comma 8 3 2 5" xfId="768" xr:uid="{A5FCD8D3-5529-4B24-B9A0-3207DF2D5F31}"/>
    <cellStyle name="Comma 8 3 2 5 2" xfId="5776" xr:uid="{88F7B481-47C2-4EED-A874-6DF87891C7FE}"/>
    <cellStyle name="Comma 8 3 2 6" xfId="4049" xr:uid="{E0E136CA-2946-4D78-A32A-88286198DFFA}"/>
    <cellStyle name="Comma 8 3 3" xfId="430" xr:uid="{9AC3188C-FF99-428D-8BF5-5B5194A4CAA9}"/>
    <cellStyle name="Comma 8 3 3 2" xfId="1290" xr:uid="{0975B9B6-0A88-44D6-A539-F78D25E5765E}"/>
    <cellStyle name="Comma 8 3 3 2 2" xfId="2431" xr:uid="{6DC252D3-56C4-4AF5-A4A2-ECC018BEA62C}"/>
    <cellStyle name="Comma 8 3 3 2 2 2" xfId="3732" xr:uid="{292FEAF2-2788-4DAE-9411-800AF51648E5}"/>
    <cellStyle name="Comma 8 3 3 2 2 2 2" xfId="7189" xr:uid="{6D25576F-8E00-409C-9F16-EE7100E0D698}"/>
    <cellStyle name="Comma 8 3 3 2 2 3" xfId="5450" xr:uid="{14B3C86E-8C32-403F-860C-FFBB8F27944A}"/>
    <cellStyle name="Comma 8 3 3 2 3" xfId="2885" xr:uid="{F8CF32D4-592F-47E1-B621-5A28674A0466}"/>
    <cellStyle name="Comma 8 3 3 2 3 2" xfId="6320" xr:uid="{6FD643B6-8742-416E-A4A0-69F53B337E92}"/>
    <cellStyle name="Comma 8 3 3 2 4" xfId="4580" xr:uid="{3D82CEE0-61F7-4F8A-8156-DA7F404EE9E7}"/>
    <cellStyle name="Comma 8 3 3 3" xfId="1747" xr:uid="{47120EF7-9705-456A-BBB7-AFFBE57248F9}"/>
    <cellStyle name="Comma 8 3 3 3 2" xfId="3310" xr:uid="{AAC3B0E6-9B09-44B7-A7AE-B17673D3B249}"/>
    <cellStyle name="Comma 8 3 3 3 2 2" xfId="6754" xr:uid="{645BB27E-5097-4337-BD42-79806B4D9746}"/>
    <cellStyle name="Comma 8 3 3 3 3" xfId="5015" xr:uid="{F1C04DDF-E2A4-4E05-878A-9B3F29D3A58E}"/>
    <cellStyle name="Comma 8 3 3 4" xfId="877" xr:uid="{2AA93BFA-1630-45FF-B3DC-8EBF7943AA3C}"/>
    <cellStyle name="Comma 8 3 3 4 2" xfId="5885" xr:uid="{7968A62D-85AA-4157-890D-1DC9C2E20A4B}"/>
    <cellStyle name="Comma 8 3 3 5" xfId="4152" xr:uid="{EDA58D42-CDE3-44B3-BB4D-4D2FA4FE8D98}"/>
    <cellStyle name="Comma 8 3 4" xfId="1081" xr:uid="{488027D3-896B-4689-9F95-07FAA02CD926}"/>
    <cellStyle name="Comma 8 3 4 2" xfId="1864" xr:uid="{7D755716-3632-4D36-A270-D7C750F1C3C5}"/>
    <cellStyle name="Comma 8 3 4 2 2" xfId="2542" xr:uid="{41F77C14-56DE-43DE-A1C9-ADE2737F9EC9}"/>
    <cellStyle name="Comma 8 3 4 2 2 2" xfId="3848" xr:uid="{5F16040C-435C-4EBA-81E0-F0AD69F5FC6C}"/>
    <cellStyle name="Comma 8 3 4 2 2 2 2" xfId="7305" xr:uid="{E77B31E3-976C-473C-8749-9A13E7B7A23C}"/>
    <cellStyle name="Comma 8 3 4 2 2 3" xfId="5566" xr:uid="{F7DA6415-A214-4140-A441-96E92FD2FADF}"/>
    <cellStyle name="Comma 8 3 4 2 3" xfId="3001" xr:uid="{6F393215-0990-4FB0-8F41-A6372A7798FA}"/>
    <cellStyle name="Comma 8 3 4 2 3 2" xfId="6436" xr:uid="{8C1E0188-1AAE-499B-B80D-31B3D35592E5}"/>
    <cellStyle name="Comma 8 3 4 2 4" xfId="4696" xr:uid="{95E97C0A-346F-4E3D-9EF2-7945A13A776D}"/>
    <cellStyle name="Comma 8 3 4 3" xfId="2154" xr:uid="{459123A3-0B59-46AE-AB4B-0C40E347478C}"/>
    <cellStyle name="Comma 8 3 4 3 2" xfId="3421" xr:uid="{8EE0F79A-B48D-4435-A75B-2879E737B25A}"/>
    <cellStyle name="Comma 8 3 4 3 2 2" xfId="6870" xr:uid="{1E1D5762-BB15-470E-B379-85B507D88C5E}"/>
    <cellStyle name="Comma 8 3 4 3 3" xfId="5131" xr:uid="{574C86EE-D6EB-4CCA-AF41-7CD00656C5BA}"/>
    <cellStyle name="Comma 8 3 4 4" xfId="2579" xr:uid="{88A63859-262C-43AC-B1B3-B952E6283B28}"/>
    <cellStyle name="Comma 8 3 4 4 2" xfId="6001" xr:uid="{A9EDBB4D-521C-4D46-91D3-CDDAE6FF0D2C}"/>
    <cellStyle name="Comma 8 3 4 5" xfId="4263" xr:uid="{7EC74782-8BEC-4B89-B9FC-384283C97838}"/>
    <cellStyle name="Comma 8 3 5" xfId="1429" xr:uid="{3EA0DA7F-379E-4A86-A0D5-BEB4E4F12015}"/>
    <cellStyle name="Comma 8 3 5 2" xfId="2246" xr:uid="{BD2E1B64-C86F-495F-BF5B-2B4F9D1B3D8D}"/>
    <cellStyle name="Comma 8 3 5 2 2" xfId="3526" xr:uid="{0A5D2D4B-832D-4422-BB86-FC0632BAE009}"/>
    <cellStyle name="Comma 8 3 5 2 2 2" xfId="6980" xr:uid="{3BBC0BC7-5F65-4284-B30A-8CC7365F51FF}"/>
    <cellStyle name="Comma 8 3 5 2 3" xfId="5241" xr:uid="{4637421A-6E2F-4502-9078-5D5A1D916C1C}"/>
    <cellStyle name="Comma 8 3 5 3" xfId="2679" xr:uid="{106A5BB3-26E4-445C-AF9C-12AA5B7F7429}"/>
    <cellStyle name="Comma 8 3 5 3 2" xfId="6111" xr:uid="{FEB62EE8-852A-43F8-A800-A3272DB28CBA}"/>
    <cellStyle name="Comma 8 3 5 4" xfId="4371" xr:uid="{954AEA30-4BCB-4205-BBC0-CBE2315802E4}"/>
    <cellStyle name="Comma 8 3 6" xfId="668" xr:uid="{2D2DCC37-86AD-494E-BB9C-939819269874}"/>
    <cellStyle name="Comma 8 3 6 2" xfId="3110" xr:uid="{F77F35D5-6A6C-4E5B-A359-467A370CA919}"/>
    <cellStyle name="Comma 8 3 6 2 2" xfId="6545" xr:uid="{F0D0D8BB-99BE-4B4E-B104-AF5921F7DC23}"/>
    <cellStyle name="Comma 8 3 6 3" xfId="4806" xr:uid="{9F30A1A4-D966-4E42-8368-126A6055469C}"/>
    <cellStyle name="Comma 8 3 7" xfId="2571" xr:uid="{9EE4C88A-1C70-422E-8315-A74F9669FCC6}"/>
    <cellStyle name="Comma 8 3 7 2" xfId="5676" xr:uid="{388AF1C4-3993-4AF4-8869-23621AC04BBB}"/>
    <cellStyle name="Comma 8 3 8" xfId="3954" xr:uid="{BFFB9321-A541-4B86-A8E7-8D3D8AD5A992}"/>
    <cellStyle name="Comma 8 4" xfId="303" xr:uid="{22E7CB1C-7BE5-4B0E-B5ED-25E7E18DB6D3}"/>
    <cellStyle name="Comma 8 4 2" xfId="512" xr:uid="{5DA46ACD-D4B0-42CA-9EFD-A964C829461E}"/>
    <cellStyle name="Comma 8 4 2 2" xfId="1372" xr:uid="{13677DE2-A46F-45C8-8C16-2327BAE8B6DC}"/>
    <cellStyle name="Comma 8 4 2 2 2" xfId="2509" xr:uid="{75367238-D8F6-4BBA-BF2D-3D6DF6EC6860}"/>
    <cellStyle name="Comma 8 4 2 2 2 2" xfId="3814" xr:uid="{8D44E180-A472-49A4-A1FC-576125B7CB8A}"/>
    <cellStyle name="Comma 8 4 2 2 2 2 2" xfId="7271" xr:uid="{50B709BA-6878-4ADD-896B-A3C0267677C8}"/>
    <cellStyle name="Comma 8 4 2 2 2 3" xfId="5532" xr:uid="{5D67C956-36BA-481F-A1AC-B60EB9D83F5D}"/>
    <cellStyle name="Comma 8 4 2 2 3" xfId="2967" xr:uid="{4CBC826A-8731-412E-8A7D-A6A23C888748}"/>
    <cellStyle name="Comma 8 4 2 2 3 2" xfId="6402" xr:uid="{907C94F7-CF33-4563-9ED6-1C2C287F3DB0}"/>
    <cellStyle name="Comma 8 4 2 2 4" xfId="4662" xr:uid="{4F4931DF-3904-41ED-8271-9CE59FF3A6EA}"/>
    <cellStyle name="Comma 8 4 2 3" xfId="1829" xr:uid="{2A1D0969-5DA5-4729-A456-B779F0D09E6A}"/>
    <cellStyle name="Comma 8 4 2 3 2" xfId="3388" xr:uid="{D156CA3B-27E6-4568-9E0B-FEA131C5963E}"/>
    <cellStyle name="Comma 8 4 2 3 2 2" xfId="6836" xr:uid="{FFA7C6DC-8244-42A7-BA22-A8FF2D61A063}"/>
    <cellStyle name="Comma 8 4 2 3 3" xfId="5097" xr:uid="{412B9007-D86F-4483-A8FF-75ACC5D53D8C}"/>
    <cellStyle name="Comma 8 4 2 4" xfId="959" xr:uid="{FC8E7418-E909-420B-B83E-A75530A82D77}"/>
    <cellStyle name="Comma 8 4 2 4 2" xfId="5967" xr:uid="{21A8489A-1FC5-406C-8E4E-90C139762003}"/>
    <cellStyle name="Comma 8 4 2 5" xfId="4230" xr:uid="{663BA933-8C9F-4C38-8D60-2AD152D65F7A}"/>
    <cellStyle name="Comma 8 4 3" xfId="1165" xr:uid="{D8B7685C-AD38-4916-B40F-000592265159}"/>
    <cellStyle name="Comma 8 4 3 2" xfId="1884" xr:uid="{C460DE2F-7FBB-4E3C-B049-461A821B5253}"/>
    <cellStyle name="Comma 8 4 3 2 2" xfId="3609" xr:uid="{98D212DF-7D05-4E7E-8D20-C605B3DA3569}"/>
    <cellStyle name="Comma 8 4 3 2 2 2" xfId="7064" xr:uid="{0D4396E4-3C95-4A86-B92E-3D5FF784CF8B}"/>
    <cellStyle name="Comma 8 4 3 2 3" xfId="5325" xr:uid="{F5D91217-0111-48A7-91BA-FCE409221830}"/>
    <cellStyle name="Comma 8 4 3 3" xfId="2762" xr:uid="{734F517B-3654-4AB7-8267-3FEEC4E7F5F1}"/>
    <cellStyle name="Comma 8 4 3 3 2" xfId="6195" xr:uid="{3D75F8C3-769B-467A-896E-5FFB02FB3EE3}"/>
    <cellStyle name="Comma 8 4 3 4" xfId="4455" xr:uid="{8D0F8117-5A01-4322-8501-8D481BF7EB74}"/>
    <cellStyle name="Comma 8 4 4" xfId="1524" xr:uid="{793310D6-8ED6-4FB4-8264-D3C6D8FD3858}"/>
    <cellStyle name="Comma 8 4 4 2" xfId="3190" xr:uid="{EBB5F3F4-D17D-4597-AD3F-08B6B533D2EC}"/>
    <cellStyle name="Comma 8 4 4 2 2" xfId="6629" xr:uid="{135F385C-8DA1-415E-B320-730724576F13}"/>
    <cellStyle name="Comma 8 4 4 3" xfId="4890" xr:uid="{8BB3823B-1CE7-458B-B440-C14F762CA24C}"/>
    <cellStyle name="Comma 8 4 5" xfId="752" xr:uid="{7572C828-C329-4855-9C85-E7F99A11501C}"/>
    <cellStyle name="Comma 8 4 5 2" xfId="5760" xr:uid="{028AAEDD-9E70-4EBE-8512-55DB0258ECE1}"/>
    <cellStyle name="Comma 8 4 6" xfId="4034" xr:uid="{6053E219-A6D5-4699-9C88-AAA261607DC5}"/>
    <cellStyle name="Comma 8 5" xfId="343" xr:uid="{2511E8A7-A394-40E5-9977-5EE893DCC77D}"/>
    <cellStyle name="Comma 8 5 2" xfId="1208" xr:uid="{1EB93CB2-6F97-4BE0-B103-B459CCEB5B05}"/>
    <cellStyle name="Comma 8 5 2 2" xfId="2354" xr:uid="{F3D9A615-5B9D-46E7-8203-68D64F8A768D}"/>
    <cellStyle name="Comma 8 5 2 2 2" xfId="3651" xr:uid="{6EADC529-B136-4CE9-A019-A91CC0EEC1F8}"/>
    <cellStyle name="Comma 8 5 2 2 2 2" xfId="7107" xr:uid="{6AD5DA91-2380-41EB-B318-5361A73C7AC8}"/>
    <cellStyle name="Comma 8 5 2 2 3" xfId="5368" xr:uid="{ECFA03F8-78AD-4DDD-9AC4-07F35D67BE63}"/>
    <cellStyle name="Comma 8 5 2 3" xfId="2804" xr:uid="{762F56DB-27A8-4F07-8601-5E381945EFA7}"/>
    <cellStyle name="Comma 8 5 2 3 2" xfId="6238" xr:uid="{8229AFF9-7608-49AB-92E5-5DF029ABA4D5}"/>
    <cellStyle name="Comma 8 5 2 4" xfId="4498" xr:uid="{A778A30B-206A-45DB-BBE0-82004CB43B4E}"/>
    <cellStyle name="Comma 8 5 3" xfId="1662" xr:uid="{A62E38A4-CC54-478A-81E6-9654824ACCBA}"/>
    <cellStyle name="Comma 8 5 3 2" xfId="3232" xr:uid="{22F6878B-96CC-40A9-AF05-017E16DACA54}"/>
    <cellStyle name="Comma 8 5 3 2 2" xfId="6672" xr:uid="{2246F1E8-2B74-45ED-8256-D9B3E6B4D0C9}"/>
    <cellStyle name="Comma 8 5 3 3" xfId="4933" xr:uid="{75023413-F314-49FF-97A5-BEB48343C837}"/>
    <cellStyle name="Comma 8 5 4" xfId="795" xr:uid="{9DA3A71B-EDCF-4FB2-9AB5-F8781F14AAB8}"/>
    <cellStyle name="Comma 8 5 4 2" xfId="5803" xr:uid="{32CBDBE4-E13F-410A-827B-B8254EFAC311}"/>
    <cellStyle name="Comma 8 5 5" xfId="4075" xr:uid="{49019C73-7FD2-4A01-B09C-B068DC5D694F}"/>
    <cellStyle name="Comma 8 6" xfId="549" xr:uid="{320644E2-813B-4B01-B550-3C3F9C9E2828}"/>
    <cellStyle name="Comma 8 6 2" xfId="1409" xr:uid="{12E5E1B5-E193-4CB5-980E-CCD8F868BAA6}"/>
    <cellStyle name="Comma 8 6 2 2" xfId="3511" xr:uid="{987564D9-C042-4DF1-A44F-E5E77647B2C4}"/>
    <cellStyle name="Comma 8 6 2 2 2" xfId="6964" xr:uid="{84C47CE9-4131-42A0-A81B-45EEAF2351C9}"/>
    <cellStyle name="Comma 8 6 2 3" xfId="5225" xr:uid="{70CA04F8-8B2A-41CD-9D9A-25CCEF92B313}"/>
    <cellStyle name="Comma 8 6 3" xfId="1862" xr:uid="{6524B208-27FA-4239-BE58-0CA066A77AC8}"/>
    <cellStyle name="Comma 8 6 3 2" xfId="6095" xr:uid="{5888A002-ADD9-4D20-A0C6-2AB2A6CBEAC6}"/>
    <cellStyle name="Comma 8 6 4" xfId="996" xr:uid="{126980E1-CDE5-460C-91FE-38D8F6005A98}"/>
    <cellStyle name="Comma 8 7" xfId="1065" xr:uid="{3909A5CA-1A0F-44DC-B6E8-C403D48116D7}"/>
    <cellStyle name="Comma 8 7 2" xfId="3095" xr:uid="{DAFA8822-1AFA-40D6-ABFB-6D98A1EC2450}"/>
    <cellStyle name="Comma 8 7 2 2" xfId="6530" xr:uid="{CE7171AE-5CB2-4A66-B348-3103D20D2805}"/>
    <cellStyle name="Comma 8 7 3" xfId="4790" xr:uid="{7A993A48-39B9-4BEC-B243-222FBF85D541}"/>
    <cellStyle name="Comma 8 8" xfId="1425" xr:uid="{7D2B92C6-1534-4283-97F9-261013AAD44A}"/>
    <cellStyle name="Comma 8 8 2" xfId="5660" xr:uid="{A5E78FB4-389F-452B-A44A-88625D429E49}"/>
    <cellStyle name="Comma 8 9" xfId="652" xr:uid="{E64FC567-DD07-4C29-8830-8B1D5AD7BC1F}"/>
    <cellStyle name="Comma 9" xfId="119" xr:uid="{C3275B9D-AAEB-4B07-9D67-55CBF8F7AFBA}"/>
    <cellStyle name="Comma 9 2" xfId="314" xr:uid="{1A8BE434-686A-4FA0-98A5-912B4F0CD0AC}"/>
    <cellStyle name="Comma 9 2 2" xfId="524" xr:uid="{D1CE673B-A64B-4DCD-8E4B-FD82D41B6826}"/>
    <cellStyle name="Comma 9 2 2 2" xfId="1384" xr:uid="{64C97217-9BB1-47B1-81C2-0DC03D0B4B62}"/>
    <cellStyle name="Comma 9 2 2 2 2" xfId="2520" xr:uid="{E3DADFF1-50B3-4AE7-A0D3-D2255C19AB7A}"/>
    <cellStyle name="Comma 9 2 2 2 2 2" xfId="3826" xr:uid="{C234BF30-2EC3-43FB-8477-E49BF76C7A07}"/>
    <cellStyle name="Comma 9 2 2 2 2 2 2" xfId="7283" xr:uid="{DAE14B3D-F38A-45D6-B1C3-D9C22B3E4A6B}"/>
    <cellStyle name="Comma 9 2 2 2 2 3" xfId="5544" xr:uid="{335C7B0A-AC5A-4FAA-9847-3C5196F5ACFF}"/>
    <cellStyle name="Comma 9 2 2 2 3" xfId="2979" xr:uid="{19D09EFD-237C-467E-9B01-E5CA39D1BD76}"/>
    <cellStyle name="Comma 9 2 2 2 3 2" xfId="6414" xr:uid="{26AEEA5E-941F-44AA-AF5A-4F264B3A926A}"/>
    <cellStyle name="Comma 9 2 2 2 4" xfId="4674" xr:uid="{FCB08E96-5DCD-4FE5-9A1B-A57BE3D5D8C6}"/>
    <cellStyle name="Comma 9 2 2 3" xfId="1841" xr:uid="{37732006-BAE9-4AB8-89DA-EC077C8721D5}"/>
    <cellStyle name="Comma 9 2 2 3 2" xfId="3399" xr:uid="{43578A00-7C4B-4C9E-9077-78F79BED407D}"/>
    <cellStyle name="Comma 9 2 2 3 2 2" xfId="6848" xr:uid="{446D51EE-29BB-486A-A978-5B5D87230D8D}"/>
    <cellStyle name="Comma 9 2 2 3 3" xfId="5109" xr:uid="{CF231114-9C5A-4ECB-8B5C-EBB4A73BC5DB}"/>
    <cellStyle name="Comma 9 2 2 4" xfId="971" xr:uid="{6937374B-4640-4867-BF9A-FF5902907D7E}"/>
    <cellStyle name="Comma 9 2 2 4 2" xfId="5979" xr:uid="{9BB81570-C2F1-45ED-985B-1106D52FA4CD}"/>
    <cellStyle name="Comma 9 2 2 5" xfId="4241" xr:uid="{69A2BD88-973A-43FB-A4A2-B7AC6948516E}"/>
    <cellStyle name="Comma 9 2 3" xfId="1177" xr:uid="{CBFDE5BB-BAB9-4C0B-B6DF-AF9F53AA9FC3}"/>
    <cellStyle name="Comma 9 2 3 2" xfId="2328" xr:uid="{E3C66CB3-6162-44AA-894A-11E5FD07A2CE}"/>
    <cellStyle name="Comma 9 2 3 2 2" xfId="3621" xr:uid="{E2C10980-E2AA-461A-8D33-7236722DB3DA}"/>
    <cellStyle name="Comma 9 2 3 2 2 2" xfId="7076" xr:uid="{27003670-2C62-4121-8B7D-5F91791BC542}"/>
    <cellStyle name="Comma 9 2 3 2 3" xfId="5337" xr:uid="{4DFAD66C-1949-4526-BAA9-AE564BDE3DD4}"/>
    <cellStyle name="Comma 9 2 3 3" xfId="2774" xr:uid="{8C80F875-5FDA-43ED-9F46-51CC8321D30C}"/>
    <cellStyle name="Comma 9 2 3 3 2" xfId="6207" xr:uid="{EC9912F7-6881-4841-BEE5-549764BFDFEB}"/>
    <cellStyle name="Comma 9 2 3 4" xfId="4467" xr:uid="{2CCCC840-5969-4E3F-B533-BAA7F6C71D19}"/>
    <cellStyle name="Comma 9 2 4" xfId="1641" xr:uid="{86DDBAD9-C093-44E8-A41E-2F8A12277ABE}"/>
    <cellStyle name="Comma 9 2 4 2" xfId="3201" xr:uid="{F8736D99-F718-49FD-95DB-7FEF16A4F290}"/>
    <cellStyle name="Comma 9 2 4 2 2" xfId="6641" xr:uid="{A80C27BA-2215-483E-ABF1-C8ADA46370D2}"/>
    <cellStyle name="Comma 9 2 4 3" xfId="4902" xr:uid="{CA19131E-ED4D-44EF-9C81-70612B4B8507}"/>
    <cellStyle name="Comma 9 2 5" xfId="764" xr:uid="{7BE310FD-0BF5-45A4-9ACC-C78538C9E413}"/>
    <cellStyle name="Comma 9 2 5 2" xfId="5772" xr:uid="{C9D98037-BBAB-4A79-BD25-099AF9B7185F}"/>
    <cellStyle name="Comma 9 2 6" xfId="4045" xr:uid="{D0622D7D-20A5-48B0-B688-3CE33C5584BD}"/>
    <cellStyle name="Comma 9 3" xfId="426" xr:uid="{EC1A1670-0C64-4E24-A440-C4F9A6C2C4AE}"/>
    <cellStyle name="Comma 9 3 2" xfId="1286" xr:uid="{66FD0E81-45B4-498C-AD6F-77BC34408FA5}"/>
    <cellStyle name="Comma 9 3 2 2" xfId="2427" xr:uid="{4949AC76-A498-41D6-B427-88DAB8C1A365}"/>
    <cellStyle name="Comma 9 3 2 2 2" xfId="3728" xr:uid="{4F7CF171-971E-4E2A-A499-0D61558BD5C2}"/>
    <cellStyle name="Comma 9 3 2 2 2 2" xfId="7185" xr:uid="{03FC5F62-A6EF-4E6D-AF6C-B831BBDD06EC}"/>
    <cellStyle name="Comma 9 3 2 2 3" xfId="5446" xr:uid="{36F30E19-0B4F-4B71-9AD4-A4EEBAB8CC16}"/>
    <cellStyle name="Comma 9 3 2 3" xfId="2881" xr:uid="{9CAE0E69-C9AE-4D33-BEEB-A3114ED35E3D}"/>
    <cellStyle name="Comma 9 3 2 3 2" xfId="6316" xr:uid="{34D3A619-7014-46AF-B18F-D901EC2681BB}"/>
    <cellStyle name="Comma 9 3 2 4" xfId="4576" xr:uid="{55958B38-9D59-458C-9B3E-9192F79311A3}"/>
    <cellStyle name="Comma 9 3 3" xfId="1743" xr:uid="{1066523E-7176-4B3E-A660-1404C07C3930}"/>
    <cellStyle name="Comma 9 3 3 2" xfId="3306" xr:uid="{8045318D-A48C-40BE-9321-7E0E3C4FE740}"/>
    <cellStyle name="Comma 9 3 3 2 2" xfId="6750" xr:uid="{5F9A264C-DB14-4087-8C82-0ECB60E24955}"/>
    <cellStyle name="Comma 9 3 3 3" xfId="5011" xr:uid="{54CDFED8-D980-4811-BC28-9AB7C42BD0B8}"/>
    <cellStyle name="Comma 9 3 4" xfId="873" xr:uid="{923B60B2-CE04-4E99-98AF-7C9AADEECF75}"/>
    <cellStyle name="Comma 9 3 4 2" xfId="5881" xr:uid="{85305B62-6756-49A6-A069-0EE1170D4482}"/>
    <cellStyle name="Comma 9 3 5" xfId="4148" xr:uid="{04EDADD6-B225-4845-9105-774BA00AB6C9}"/>
    <cellStyle name="Comma 9 4" xfId="1077" xr:uid="{73A15421-A938-4804-925E-0E451E523F26}"/>
    <cellStyle name="Comma 9 4 2" xfId="1889" xr:uid="{B04AFD12-5302-4365-862D-2462EB9B57F3}"/>
    <cellStyle name="Comma 9 4 2 2" xfId="3522" xr:uid="{4C5644E4-25D2-42C9-8CC3-2BDE38972C11}"/>
    <cellStyle name="Comma 9 4 2 2 2" xfId="6976" xr:uid="{210AD557-3F0D-4A80-8E02-7AE3C883698C}"/>
    <cellStyle name="Comma 9 4 2 3" xfId="5237" xr:uid="{81294807-BFC3-433E-AA51-B7B8BE0E95CD}"/>
    <cellStyle name="Comma 9 4 3" xfId="2675" xr:uid="{F4DF1E47-7FDA-4580-AA43-D811FBF53325}"/>
    <cellStyle name="Comma 9 4 3 2" xfId="6107" xr:uid="{8269B838-5ADF-4464-8770-4B54C3BFECB0}"/>
    <cellStyle name="Comma 9 4 4" xfId="4367" xr:uid="{09CE74F5-671E-4087-9BFB-B4EF4ACA6468}"/>
    <cellStyle name="Comma 9 5" xfId="1537" xr:uid="{B0F1181B-DEDC-426A-B224-1370EC742B26}"/>
    <cellStyle name="Comma 9 5 2" xfId="3107" xr:uid="{080D9223-089E-4C19-8F91-3406CC5261F2}"/>
    <cellStyle name="Comma 9 5 2 2" xfId="6542" xr:uid="{CEF0D8FA-24FE-44D5-97BB-57C29552BFE7}"/>
    <cellStyle name="Comma 9 5 3" xfId="4802" xr:uid="{3300E86D-7DE2-49A8-BEA5-94B15D6BC734}"/>
    <cellStyle name="Comma 9 6" xfId="664" xr:uid="{D4A7473B-61F2-49AA-A8DD-5EB7B8AB2A31}"/>
    <cellStyle name="Comma 9 6 2" xfId="5672" xr:uid="{8DA22B64-9736-4A17-A4E4-47AAB529C59D}"/>
    <cellStyle name="Comma 9 7" xfId="3950" xr:uid="{0407BB0C-62D2-4C7A-9D93-B13E637562B8}"/>
    <cellStyle name="Copied" xfId="13" xr:uid="{2252EE10-18A5-44A7-9FE4-231B9B80EC0E}"/>
    <cellStyle name="Currency" xfId="14" builtinId="4"/>
    <cellStyle name="Currency 2" xfId="138" xr:uid="{F9BAE0A9-1FD2-4C9D-BFCA-AC722785B2D3}"/>
    <cellStyle name="Currency 2 2" xfId="1206" xr:uid="{BCBE21A7-1BEB-4BAF-A17A-6F549F00CB41}"/>
    <cellStyle name="Currency 2 2 2" xfId="2352" xr:uid="{D02201F3-AA3D-4BB2-9F1C-A7F15DCDF170}"/>
    <cellStyle name="Currency 2 2 2 2" xfId="3649" xr:uid="{8D39EE9E-1B0F-44A3-A771-3FAA9D7CF65A}"/>
    <cellStyle name="Currency 2 2 2 2 2" xfId="7105" xr:uid="{CA1FDB36-D4B4-48A6-AF4B-FF81EB659E59}"/>
    <cellStyle name="Currency 2 2 2 3" xfId="5366" xr:uid="{C9D839CE-1A88-4FE3-B29C-E5AA11E3D7C6}"/>
    <cellStyle name="Currency 2 2 3" xfId="2802" xr:uid="{4348F529-C478-4B56-AFE3-A776F4EC2576}"/>
    <cellStyle name="Currency 2 2 3 2" xfId="6236" xr:uid="{06D619D1-04CF-4C98-BA43-03563C2ADDBC}"/>
    <cellStyle name="Currency 2 2 4" xfId="4496" xr:uid="{CDE519E7-CD2C-4834-86CE-3990AFE86392}"/>
    <cellStyle name="Currency 2 3" xfId="1443" xr:uid="{938479D5-2F28-4AE7-BD6D-49922301AC7C}"/>
    <cellStyle name="Currency 2 3 2" xfId="3230" xr:uid="{92CBE765-0C9A-4C52-A1BC-A1FC12E5C837}"/>
    <cellStyle name="Currency 2 3 2 2" xfId="6670" xr:uid="{DD4FEE41-7F0D-4810-921A-940BD31C8CBD}"/>
    <cellStyle name="Currency 2 3 3" xfId="4931" xr:uid="{236C1908-9466-4225-91C0-FB7E2DA4242F}"/>
    <cellStyle name="Currency 2 4" xfId="793" xr:uid="{082933EF-9332-4203-8AE3-33129106CC40}"/>
    <cellStyle name="Currency 2 4 2" xfId="5801" xr:uid="{0EC14EB6-B77B-4AC4-97C8-6FEF9000B69E}"/>
    <cellStyle name="Currency 2 5" xfId="4073" xr:uid="{CF940FC9-2234-4508-9B7B-370B1F670986}"/>
    <cellStyle name="d_yield" xfId="15" xr:uid="{5034A496-EA71-40AC-BCD3-F023B9040731}"/>
    <cellStyle name="d_yield_Sheet1" xfId="16" xr:uid="{8EF336D4-78DF-4988-B83D-529FFE296996}"/>
    <cellStyle name="Entered" xfId="17" xr:uid="{D628F71F-C4AA-4A5A-ADCA-2894FACAD1AA}"/>
    <cellStyle name="eps" xfId="18" xr:uid="{27CF1337-DB65-4AE3-8B16-00A5A879F6ED}"/>
    <cellStyle name="eps$" xfId="19" xr:uid="{4647373F-9EE6-47D0-A8EE-F873C73DF39F}"/>
    <cellStyle name="eps$A" xfId="20" xr:uid="{CC6F7E3A-01AA-4B00-A129-B050FC2FA64E}"/>
    <cellStyle name="eps$E" xfId="21" xr:uid="{5ADC4015-9DF4-46E2-98A5-BEFBBD5A106B}"/>
    <cellStyle name="eps_2nd Quarter" xfId="22" xr:uid="{6073F461-7E65-49D6-B22D-DD528FCBD15E}"/>
    <cellStyle name="epsA" xfId="23" xr:uid="{A47717F1-7B00-4FBF-86B0-0FBB68E77784}"/>
    <cellStyle name="epsE" xfId="24" xr:uid="{100DD9C9-C249-454F-AB86-6DFDD9AFE426}"/>
    <cellStyle name="Explanatory Text" xfId="76" builtinId="53" customBuiltin="1"/>
    <cellStyle name="fy_eps$" xfId="25" xr:uid="{869AF066-3C71-4541-86B7-DE30E6531B82}"/>
    <cellStyle name="g_rate" xfId="26" xr:uid="{34770357-1294-471C-B7F8-918975492F90}"/>
    <cellStyle name="g_rate_Sheet1" xfId="27" xr:uid="{285ACB41-2E41-4B4E-B4B5-1E93F354EA8B}"/>
    <cellStyle name="Good" xfId="68" builtinId="26" customBuiltin="1"/>
    <cellStyle name="Grey" xfId="28" xr:uid="{6586D3F6-D1A2-458B-8C8F-EDB14BF7EA39}"/>
    <cellStyle name="Header1" xfId="29" xr:uid="{8780DBCD-BED1-469E-A059-E9FEC89B330C}"/>
    <cellStyle name="Header2" xfId="30" xr:uid="{BE2BC763-238A-401A-B387-F5DCF47A863F}"/>
    <cellStyle name="Heading 1" xfId="64" builtinId="16" customBuiltin="1"/>
    <cellStyle name="Heading 2" xfId="65" builtinId="17" customBuiltin="1"/>
    <cellStyle name="Heading 3" xfId="66" builtinId="18" customBuiltin="1"/>
    <cellStyle name="Heading 4" xfId="67" builtinId="19" customBuiltin="1"/>
    <cellStyle name="Hyperlink" xfId="31" builtinId="8"/>
    <cellStyle name="Hyperlink 2" xfId="2015" xr:uid="{E45A607A-09DD-4EF8-8A6B-FAF3F911CF19}"/>
    <cellStyle name="Input" xfId="70" builtinId="20" customBuiltin="1"/>
    <cellStyle name="Input [yellow]" xfId="32" xr:uid="{8F616D1D-341E-4481-A63B-D4ACB1B7413D}"/>
    <cellStyle name="Jun" xfId="133" xr:uid="{96AEA7FC-F3AA-4AE6-BF9D-9844C89A9DBC}"/>
    <cellStyle name="Jun 2" xfId="100" xr:uid="{A4B79F23-7C7E-4246-BFDF-9EF1B91AD8E7}"/>
    <cellStyle name="Jun 2 2" xfId="216" xr:uid="{85422237-E865-4592-9CD8-F5C63CB326E1}"/>
    <cellStyle name="Jun 2 2 2" xfId="33" xr:uid="{7B5E929E-0DBB-4E07-898C-4BF71E68B57C}"/>
    <cellStyle name="Jun 2 2 3" xfId="1440" xr:uid="{1611B813-41B0-49B0-AC44-8DB94BF9AE2D}"/>
    <cellStyle name="Jun 2 3" xfId="115" xr:uid="{46499805-8755-44FF-8479-A450FDDF9822}"/>
    <cellStyle name="Jun 2 4" xfId="166" xr:uid="{3AADB5F1-EE18-42D8-B95B-C03792C6F8A6}"/>
    <cellStyle name="Jun 2 4 2" xfId="1424" xr:uid="{531AF97D-2448-4458-B128-82A39D2D6463}"/>
    <cellStyle name="Jun 3" xfId="1460" xr:uid="{91361509-A18D-4F40-957E-D15FF2F6EB52}"/>
    <cellStyle name="Jun 4" xfId="1415" xr:uid="{5BA02C09-C597-4D21-94B8-D777613A2711}"/>
    <cellStyle name="Linked Cell" xfId="73" builtinId="24" customBuiltin="1"/>
    <cellStyle name="m" xfId="34" xr:uid="{FDBD838B-53CC-489D-B96B-A809D4EF20E4}"/>
    <cellStyle name="m$" xfId="35" xr:uid="{F2E9894F-B738-4015-B1BD-E30376A31E8D}"/>
    <cellStyle name="mm" xfId="36" xr:uid="{6E91594B-E8F0-4FC7-A7BD-6925836C5AB9}"/>
    <cellStyle name="Neutral 2" xfId="2018" xr:uid="{BF7913A8-93EF-4CB2-AA2E-E50D176F1110}"/>
    <cellStyle name="Neutral 3" xfId="126" xr:uid="{E65EB6E9-EB86-4451-BF20-C294C619A1CE}"/>
    <cellStyle name="Normal" xfId="0" builtinId="0"/>
    <cellStyle name="Normal - Style1" xfId="37" xr:uid="{F71E3097-CC52-4398-9CD9-5716EB77EC71}"/>
    <cellStyle name="Normal 10" xfId="208" xr:uid="{3627D3BE-27DD-4559-8B95-42717867D10C}"/>
    <cellStyle name="Normal 10 2" xfId="219" xr:uid="{817F70F2-278D-4178-905D-DC2F833B092B}"/>
    <cellStyle name="Normal 10 2 2" xfId="227" xr:uid="{4C9BCD9B-A33F-44DF-8E33-C3BC797E901D}"/>
    <cellStyle name="Normal 10 2 2 2" xfId="1546" xr:uid="{D1AB87C8-3275-4FD6-AEE3-9670DE1F69D3}"/>
    <cellStyle name="Normal 10 2 2 3" xfId="1434" xr:uid="{2992A0D9-86E7-4122-9505-BCF490F03A02}"/>
    <cellStyle name="Normal 10 2 3" xfId="124" xr:uid="{AA2E4109-9B7D-46A9-AD7C-B29B8D875588}"/>
    <cellStyle name="Normal 10 2 3 2" xfId="521" xr:uid="{8054F096-CCB7-43FE-9E3B-2C9439AC93D9}"/>
    <cellStyle name="Normal 10 2 3 2 2" xfId="1381" xr:uid="{ED0C736C-838E-4AE1-8074-798A373599AD}"/>
    <cellStyle name="Normal 10 2 3 2 2 2" xfId="2517" xr:uid="{B3C32218-DA2B-4296-8944-8BC88C7D348A}"/>
    <cellStyle name="Normal 10 2 3 2 2 2 2" xfId="3823" xr:uid="{872D8229-E2E6-42DC-AFD5-5F41E23BEFD4}"/>
    <cellStyle name="Normal 10 2 3 2 2 2 2 2" xfId="7280" xr:uid="{45475DC9-7910-40D2-BE0D-2982A32D96A6}"/>
    <cellStyle name="Normal 10 2 3 2 2 2 3" xfId="5541" xr:uid="{9161F1EC-62FF-4F2D-8073-F94AA890EEF0}"/>
    <cellStyle name="Normal 10 2 3 2 2 3" xfId="2976" xr:uid="{EA22CA95-95D1-4CD9-8724-0F29A999230E}"/>
    <cellStyle name="Normal 10 2 3 2 2 3 2" xfId="6411" xr:uid="{1F065CB3-780C-4829-990F-CA8F4E3A8943}"/>
    <cellStyle name="Normal 10 2 3 2 2 4" xfId="4671" xr:uid="{345BA9AD-2F7F-4E03-9DF4-ABE508DFFFFB}"/>
    <cellStyle name="Normal 10 2 3 2 3" xfId="1838" xr:uid="{144042D1-C665-4FB5-AFFC-3FFC3D2A7A7B}"/>
    <cellStyle name="Normal 10 2 3 2 3 2" xfId="3396" xr:uid="{53471BDB-A677-40E8-9B6E-8E258AC3B2F1}"/>
    <cellStyle name="Normal 10 2 3 2 3 2 2" xfId="6845" xr:uid="{6E304B40-B55A-4CA8-AF66-AD612CBB3D96}"/>
    <cellStyle name="Normal 10 2 3 2 3 3" xfId="5106" xr:uid="{70C0DE38-B118-4D21-A359-EC4BF5E1EA67}"/>
    <cellStyle name="Normal 10 2 3 2 4" xfId="968" xr:uid="{BC60D130-97F8-43C0-99B9-C7E75387FCDD}"/>
    <cellStyle name="Normal 10 2 3 2 4 2" xfId="5976" xr:uid="{DBF931CE-4AC4-49CA-BFE3-C86EF806DD4B}"/>
    <cellStyle name="Normal 10 2 3 2 5" xfId="4238" xr:uid="{938B56F3-1587-4538-92B2-ED313CA9E289}"/>
    <cellStyle name="Normal 10 2 3 3" xfId="1174" xr:uid="{C4E217AD-73E1-40C0-B0F6-3F8CF79A3AB9}"/>
    <cellStyle name="Normal 10 2 3 3 2" xfId="2325" xr:uid="{E0FFA607-FB10-4364-9BC0-A626AACDBD13}"/>
    <cellStyle name="Normal 10 2 3 3 2 2" xfId="3618" xr:uid="{E1B753A3-BBAF-4D6D-AC32-2B661835BF00}"/>
    <cellStyle name="Normal 10 2 3 3 2 2 2" xfId="7073" xr:uid="{6D6F5AFB-495E-411D-AA7A-F8C0ED9273F7}"/>
    <cellStyle name="Normal 10 2 3 3 2 3" xfId="5334" xr:uid="{B394E714-81C0-4260-95DA-2C50A7545746}"/>
    <cellStyle name="Normal 10 2 3 3 3" xfId="2771" xr:uid="{9F64F2D5-0141-4C93-ADBE-2E135AD146D9}"/>
    <cellStyle name="Normal 10 2 3 3 3 2" xfId="6204" xr:uid="{FA4084C9-5612-44AE-A022-0434FF332AF0}"/>
    <cellStyle name="Normal 10 2 3 3 4" xfId="4464" xr:uid="{7A115146-E4B2-46E7-BC67-001ABD179DFF}"/>
    <cellStyle name="Normal 10 2 3 4" xfId="1534" xr:uid="{AF9A60BF-F2DD-4A67-977A-C63ED3D91A04}"/>
    <cellStyle name="Normal 10 2 3 4 2" xfId="3198" xr:uid="{402FB8EE-4AD5-4B1A-B5FC-B5FE561079C1}"/>
    <cellStyle name="Normal 10 2 3 4 2 2" xfId="6638" xr:uid="{CDD7BB0E-9F3A-4678-81CD-3BF4AE270785}"/>
    <cellStyle name="Normal 10 2 3 4 3" xfId="4899" xr:uid="{EA6FEFA7-7689-4326-9E2A-AD5B4ACDA371}"/>
    <cellStyle name="Normal 10 2 3 5" xfId="761" xr:uid="{92B45C69-26FD-4506-918C-628774AD25F6}"/>
    <cellStyle name="Normal 10 2 3 5 2" xfId="5769" xr:uid="{FF5A456E-9509-438E-ADB1-2BA9EE24F173}"/>
    <cellStyle name="Normal 10 2 3 6" xfId="4042" xr:uid="{1450CD61-CB1D-4D57-8C4F-DF15BEAAEA25}"/>
    <cellStyle name="Normal 10 2 4" xfId="423" xr:uid="{A92AAB01-D261-481D-9A02-306690216007}"/>
    <cellStyle name="Normal 10 2 4 2" xfId="1283" xr:uid="{E715A73E-47CC-4D6E-A80B-869B984092FF}"/>
    <cellStyle name="Normal 10 2 4 2 2" xfId="2424" xr:uid="{B6CD1EFD-C34B-4816-B047-6591809DC214}"/>
    <cellStyle name="Normal 10 2 4 2 2 2" xfId="3725" xr:uid="{A0CBB3AB-F72D-46CB-B1DC-CBAE04FC8D9D}"/>
    <cellStyle name="Normal 10 2 4 2 2 2 2" xfId="7182" xr:uid="{5EB7C642-27D8-457E-A398-8813C347AA26}"/>
    <cellStyle name="Normal 10 2 4 2 2 3" xfId="5443" xr:uid="{27ED333B-D3EC-4579-BA6F-3841F4805C6F}"/>
    <cellStyle name="Normal 10 2 4 2 3" xfId="2878" xr:uid="{1483C946-FFC1-4DA5-9366-1402ABD877CF}"/>
    <cellStyle name="Normal 10 2 4 2 3 2" xfId="6313" xr:uid="{CD9E6AF9-0978-4CFB-B5B4-7FE35F4B3499}"/>
    <cellStyle name="Normal 10 2 4 2 4" xfId="4573" xr:uid="{356995C8-9939-4B00-A6BF-D1F1B83BA4DD}"/>
    <cellStyle name="Normal 10 2 4 3" xfId="1740" xr:uid="{0A2DD81E-B821-4212-929A-A45D6C511A9E}"/>
    <cellStyle name="Normal 10 2 4 3 2" xfId="3303" xr:uid="{DB71DB6A-63C3-4035-91DD-A8A83A75A2E6}"/>
    <cellStyle name="Normal 10 2 4 3 2 2" xfId="6747" xr:uid="{7D413A9E-E79D-44BB-AB5B-69B757CAF346}"/>
    <cellStyle name="Normal 10 2 4 3 3" xfId="5008" xr:uid="{8BEC179A-F51E-400D-B539-E101BAAD22A0}"/>
    <cellStyle name="Normal 10 2 4 4" xfId="870" xr:uid="{0895203A-1BCF-444C-9D86-860629C3BEE0}"/>
    <cellStyle name="Normal 10 2 4 4 2" xfId="5878" xr:uid="{58CB1861-D73B-43F9-9735-8188414573E4}"/>
    <cellStyle name="Normal 10 2 4 5" xfId="4145" xr:uid="{308F6226-E7D6-444A-9CFF-20348787A6F0}"/>
    <cellStyle name="Normal 10 2 5" xfId="1074" xr:uid="{81BEC932-A5B5-4529-AF29-CF4D145B1437}"/>
    <cellStyle name="Normal 10 2 5 2" xfId="2241" xr:uid="{180A1D4F-CE4E-48A4-A2EF-ADBB9030C5B2}"/>
    <cellStyle name="Normal 10 2 5 2 2" xfId="3519" xr:uid="{41552A23-2DD6-44A8-827A-F66331A18FA9}"/>
    <cellStyle name="Normal 10 2 5 2 2 2" xfId="6973" xr:uid="{F0FA6266-F7F0-4764-81DB-6D5BDDA3867D}"/>
    <cellStyle name="Normal 10 2 5 2 3" xfId="5234" xr:uid="{853919F0-F9F7-4CF7-A7AE-7FDAF34554A5}"/>
    <cellStyle name="Normal 10 2 5 3" xfId="2672" xr:uid="{69566AD7-BD87-4D76-AAF2-AF6832B1D174}"/>
    <cellStyle name="Normal 10 2 5 3 2" xfId="6104" xr:uid="{2230CF32-798B-4648-9A52-03568773BBBB}"/>
    <cellStyle name="Normal 10 2 5 4" xfId="4364" xr:uid="{0DDF7787-CA55-451D-8BDC-583A91D9BF09}"/>
    <cellStyle name="Normal 10 2 6" xfId="1418" xr:uid="{59F98CD9-0CC1-49C4-BD85-475BCD8D308A}"/>
    <cellStyle name="Normal 10 2 6 2" xfId="3104" xr:uid="{3E310091-4AFF-49FD-8513-213208211B8D}"/>
    <cellStyle name="Normal 10 2 6 2 2" xfId="6539" xr:uid="{7923C81E-1D8D-43D1-A938-9E9D2C705839}"/>
    <cellStyle name="Normal 10 2 6 3" xfId="4799" xr:uid="{CB9AAAB5-53BC-4B6E-9C58-343E987C662A}"/>
    <cellStyle name="Normal 10 2 6 4" xfId="2149" xr:uid="{27BD4325-7FB8-42F9-965C-FAE213574BCD}"/>
    <cellStyle name="Normal 10 2 7" xfId="661" xr:uid="{0393063D-E6C2-40D8-8734-7EA1E52907DD}"/>
    <cellStyle name="Normal 10 2 7 2" xfId="5669" xr:uid="{9315ACC1-C3E5-4EC8-9010-E5E784F9C023}"/>
    <cellStyle name="Normal 10 2 8" xfId="3947" xr:uid="{75501156-05F6-40F2-AF5D-DDD08BB3E815}"/>
    <cellStyle name="Normal 10 3" xfId="113" xr:uid="{BC8C426A-98EB-49D0-A80F-701096A92E17}"/>
    <cellStyle name="Normal 10 3 2" xfId="317" xr:uid="{A3F4515C-420C-4F1C-91C0-B7C75B597AFA}"/>
    <cellStyle name="Normal 10 3 2 2" xfId="527" xr:uid="{F9B0EABF-F340-4509-B202-86279645BAEB}"/>
    <cellStyle name="Normal 10 3 2 2 2" xfId="1387" xr:uid="{504EACF7-75D8-4568-8D3C-2C1D32C717BE}"/>
    <cellStyle name="Normal 10 3 2 2 2 2" xfId="2523" xr:uid="{A7993484-DE52-48BF-AD0E-2BF9C104F96C}"/>
    <cellStyle name="Normal 10 3 2 2 2 2 2" xfId="3829" xr:uid="{1343DF89-DCF7-4AFC-B714-E5831733EB22}"/>
    <cellStyle name="Normal 10 3 2 2 2 2 2 2" xfId="7286" xr:uid="{C94FC941-B7FF-42C5-8F81-AD8AAB99CC32}"/>
    <cellStyle name="Normal 10 3 2 2 2 2 3" xfId="5547" xr:uid="{8AD7BEDE-00E2-4546-BE4C-4E9920380EE3}"/>
    <cellStyle name="Normal 10 3 2 2 2 3" xfId="2982" xr:uid="{DEF7E6DC-FF21-4538-822C-13C50133BCF1}"/>
    <cellStyle name="Normal 10 3 2 2 2 3 2" xfId="6417" xr:uid="{734240D4-E8DF-4C38-9B09-2DE324CF2991}"/>
    <cellStyle name="Normal 10 3 2 2 2 4" xfId="4677" xr:uid="{E4A2432E-3964-4207-A182-5F27240A5A4B}"/>
    <cellStyle name="Normal 10 3 2 2 3" xfId="1844" xr:uid="{40A52827-3C8D-4146-8C45-34E2521F6DA4}"/>
    <cellStyle name="Normal 10 3 2 2 3 2" xfId="3402" xr:uid="{8C5F53D7-D340-400B-90BB-58963596021E}"/>
    <cellStyle name="Normal 10 3 2 2 3 2 2" xfId="6851" xr:uid="{162C4DC6-A3B9-4226-A53E-8C7868662C5C}"/>
    <cellStyle name="Normal 10 3 2 2 3 3" xfId="5112" xr:uid="{FFD0EB59-00F2-4790-A255-D46C0C1571A6}"/>
    <cellStyle name="Normal 10 3 2 2 4" xfId="974" xr:uid="{1E932BFA-FF78-4DE8-BD55-9AB95B04A8E4}"/>
    <cellStyle name="Normal 10 3 2 2 4 2" xfId="5982" xr:uid="{7D4535C5-D430-4F66-A097-A1437A375046}"/>
    <cellStyle name="Normal 10 3 2 2 5" xfId="4244" xr:uid="{6CFE4BB4-E2CA-40B6-8E92-EF353EBA3505}"/>
    <cellStyle name="Normal 10 3 2 3" xfId="1180" xr:uid="{129491F9-AD20-4837-94BA-D191C0050D03}"/>
    <cellStyle name="Normal 10 3 2 3 2" xfId="2087" xr:uid="{582138E1-7DCF-450C-B66C-4A77BA65BF5F}"/>
    <cellStyle name="Normal 10 3 2 3 2 2" xfId="2541" xr:uid="{CE16CF57-C4F2-4E86-8A45-CE90C2875ECC}"/>
    <cellStyle name="Normal 10 3 2 3 2 2 2" xfId="3847" xr:uid="{A615C37B-3413-406D-867B-64CAED2BC876}"/>
    <cellStyle name="Normal 10 3 2 3 2 2 2 2" xfId="7304" xr:uid="{B6C2807E-7A11-475F-8236-6F260BAA5D14}"/>
    <cellStyle name="Normal 10 3 2 3 2 2 3" xfId="5565" xr:uid="{7A166990-0DB7-46FC-A2C3-18AD2256C869}"/>
    <cellStyle name="Normal 10 3 2 3 2 3" xfId="3000" xr:uid="{F8DAA7DE-8036-4723-9C9F-F2F108305103}"/>
    <cellStyle name="Normal 10 3 2 3 2 3 2" xfId="6435" xr:uid="{94FF8226-E55F-4118-A995-FF2D21D6BBC9}"/>
    <cellStyle name="Normal 10 3 2 3 2 4" xfId="4695" xr:uid="{A5BA0B7C-C30E-4B62-81F3-6B937AFAF16C}"/>
    <cellStyle name="Normal 10 3 2 3 3" xfId="2153" xr:uid="{8A706F00-FF82-449F-8120-C7B944B50098}"/>
    <cellStyle name="Normal 10 3 2 3 3 2" xfId="3420" xr:uid="{5F74D217-0B4B-4630-B69B-4C3D76660ADE}"/>
    <cellStyle name="Normal 10 3 2 3 3 2 2" xfId="6869" xr:uid="{89AA487A-2B90-4804-BE7B-50EEFD51DA72}"/>
    <cellStyle name="Normal 10 3 2 3 3 3" xfId="5130" xr:uid="{E305B149-DF6B-42B9-913E-2F45B97FB851}"/>
    <cellStyle name="Normal 10 3 2 3 4" xfId="2578" xr:uid="{0B40C90A-FB6F-49DF-B0DD-378727C0FBE4}"/>
    <cellStyle name="Normal 10 3 2 3 4 2" xfId="6000" xr:uid="{DC811F48-990D-432C-BE63-51B53E376612}"/>
    <cellStyle name="Normal 10 3 2 3 5" xfId="4262" xr:uid="{A12EE73A-4CE0-4E2F-8B0A-ECBDF6BB43BE}"/>
    <cellStyle name="Normal 10 3 2 4" xfId="1540" xr:uid="{069D2847-2D2F-4F52-8ABA-9199D7C7CD3D}"/>
    <cellStyle name="Normal 10 3 2 4 2" xfId="2331" xr:uid="{F2058E78-D0CA-4B6F-8936-60FDC09F1DC0}"/>
    <cellStyle name="Normal 10 3 2 4 2 2" xfId="3624" xr:uid="{F7FA7D06-A0A9-41DF-AA3C-200CC7BE9646}"/>
    <cellStyle name="Normal 10 3 2 4 2 2 2" xfId="7079" xr:uid="{B74C68AB-1145-4DFA-B1EB-76985E83928D}"/>
    <cellStyle name="Normal 10 3 2 4 2 3" xfId="5340" xr:uid="{2CD988C1-672B-4F94-A77F-CF1825E31AD8}"/>
    <cellStyle name="Normal 10 3 2 4 3" xfId="2777" xr:uid="{BA9839D5-28DC-405B-A0D7-134AA6350006}"/>
    <cellStyle name="Normal 10 3 2 4 3 2" xfId="6210" xr:uid="{4EA2B571-D003-41CB-9816-50BFC1D2860A}"/>
    <cellStyle name="Normal 10 3 2 4 4" xfId="4470" xr:uid="{ABD04068-1275-44C7-8E14-092122BA2E61}"/>
    <cellStyle name="Normal 10 3 2 5" xfId="767" xr:uid="{E7AF60E0-D598-47A9-8E79-0EB5559F25EE}"/>
    <cellStyle name="Normal 10 3 2 5 2" xfId="3204" xr:uid="{E2AB0682-3707-46EE-8FF6-77499426FC35}"/>
    <cellStyle name="Normal 10 3 2 5 2 2" xfId="6644" xr:uid="{705AABA7-3E24-4CD1-9F40-2F0148487C19}"/>
    <cellStyle name="Normal 10 3 2 5 3" xfId="4905" xr:uid="{252258B2-EDEE-4F1D-ADCB-C5B22BC6AF28}"/>
    <cellStyle name="Normal 10 3 2 6" xfId="2573" xr:uid="{E92B2E84-DD18-42FF-9743-271F6C80A01C}"/>
    <cellStyle name="Normal 10 3 2 6 2" xfId="5775" xr:uid="{F2C8F19F-7567-4E03-9C0D-35F5710F1715}"/>
    <cellStyle name="Normal 10 3 2 7" xfId="4048" xr:uid="{22E21741-BCBE-4F63-B279-1075230CE7C2}"/>
    <cellStyle name="Normal 10 3 3" xfId="429" xr:uid="{EEC0E3A7-32A7-428D-BDAE-4261023F4A6F}"/>
    <cellStyle name="Normal 10 3 3 2" xfId="1289" xr:uid="{35A8AE2D-992B-4B6E-9913-E2FEF1A421E7}"/>
    <cellStyle name="Normal 10 3 3 2 2" xfId="2430" xr:uid="{08D1AD64-193B-4FBE-9E19-BB330C4E7D11}"/>
    <cellStyle name="Normal 10 3 3 2 2 2" xfId="3731" xr:uid="{20713E11-FF37-45EE-80CD-46841F30E818}"/>
    <cellStyle name="Normal 10 3 3 2 2 2 2" xfId="7188" xr:uid="{E7FB8F1D-67DC-471B-93FA-8FFD85FB6CE8}"/>
    <cellStyle name="Normal 10 3 3 2 2 3" xfId="5449" xr:uid="{FC49FF3A-8E90-4DA9-AD63-D6ADB7D6D776}"/>
    <cellStyle name="Normal 10 3 3 2 3" xfId="2884" xr:uid="{A6A7EFDF-D24A-4EEB-BD61-BD60013B82EA}"/>
    <cellStyle name="Normal 10 3 3 2 3 2" xfId="6319" xr:uid="{5C67C3BD-3342-4BDA-A921-677FE3DB834F}"/>
    <cellStyle name="Normal 10 3 3 2 4" xfId="4579" xr:uid="{53835E06-5CD5-48A5-9C21-08519178D0F2}"/>
    <cellStyle name="Normal 10 3 3 3" xfId="1746" xr:uid="{CA0799F7-7FC6-4449-8FBA-D17A003F6DD0}"/>
    <cellStyle name="Normal 10 3 3 3 2" xfId="3309" xr:uid="{0C28AFDF-2463-4380-9D99-BB10A9E57F6D}"/>
    <cellStyle name="Normal 10 3 3 3 2 2" xfId="6753" xr:uid="{BF6914DF-78ED-47BA-8581-B7CFAB126A10}"/>
    <cellStyle name="Normal 10 3 3 3 3" xfId="5014" xr:uid="{4AA41E3A-B8EB-40F8-92FE-1D5B04F0929D}"/>
    <cellStyle name="Normal 10 3 3 4" xfId="876" xr:uid="{20D430B9-A476-4B1C-A4FC-805F132843B6}"/>
    <cellStyle name="Normal 10 3 3 4 2" xfId="5884" xr:uid="{49EECA15-0864-4B05-9444-2439F7EB299C}"/>
    <cellStyle name="Normal 10 3 3 5" xfId="4151" xr:uid="{6A2C8621-2064-4F87-8A0E-A71F5D67CC2B}"/>
    <cellStyle name="Normal 10 3 4" xfId="550" xr:uid="{F031C3E3-C839-4743-AC6F-3B6B6D169A98}"/>
    <cellStyle name="Normal 10 3 4 2" xfId="1410" xr:uid="{049FBC8D-50B8-4434-835B-DFEC913CF56F}"/>
    <cellStyle name="Normal 10 3 4 2 2" xfId="2545" xr:uid="{AD95EA04-165C-44ED-A779-0F67AAC2816E}"/>
    <cellStyle name="Normal 10 3 4 2 2 2" xfId="3851" xr:uid="{C1C1F40F-8011-44AC-9A00-8BF680147510}"/>
    <cellStyle name="Normal 10 3 4 2 2 2 2" xfId="7308" xr:uid="{F9C67E42-9C87-4531-8061-68491F84145D}"/>
    <cellStyle name="Normal 10 3 4 2 2 3" xfId="5569" xr:uid="{E1886E00-BFE9-42C4-801A-DA6B0F440DC8}"/>
    <cellStyle name="Normal 10 3 4 2 3" xfId="3004" xr:uid="{91A512E9-E8BD-4A8E-B27C-5AF28E7C46D3}"/>
    <cellStyle name="Normal 10 3 4 2 3 2" xfId="6439" xr:uid="{EB9D5A69-4DDD-46A0-BAB8-1CF4B64A0E0C}"/>
    <cellStyle name="Normal 10 3 4 2 4" xfId="4699" xr:uid="{58E29897-97B9-4D4C-9C0A-9D250A633116}"/>
    <cellStyle name="Normal 10 3 4 3" xfId="997" xr:uid="{09253842-5A25-4FBB-B0E4-41E0B3FD1F99}"/>
    <cellStyle name="Normal 10 3 4 3 2" xfId="3424" xr:uid="{034C35D4-9939-41CD-BE7A-8D1E1DFC69B4}"/>
    <cellStyle name="Normal 10 3 4 3 2 2" xfId="6873" xr:uid="{A5B0190A-7021-43A1-B4D7-7808355D3350}"/>
    <cellStyle name="Normal 10 3 4 3 3" xfId="5134" xr:uid="{1A77BCAB-9984-4848-9807-4B0B97DA0F74}"/>
    <cellStyle name="Normal 10 3 4 4" xfId="2582" xr:uid="{E565B698-D29F-4C71-9345-077AC14CA6B9}"/>
    <cellStyle name="Normal 10 3 4 4 2" xfId="6004" xr:uid="{34E2304D-6A0A-4323-8EBB-540CA5F7FB43}"/>
    <cellStyle name="Normal 10 3 4 5" xfId="3874" xr:uid="{D2BEE2E6-49B2-41D0-82D8-CDDD415AE979}"/>
    <cellStyle name="Normal 10 3 4 6" xfId="4266" xr:uid="{ECAA03B0-A3DA-431A-8E8B-EB26F8FE6545}"/>
    <cellStyle name="Normal 10 3 5" xfId="1080" xr:uid="{0D8C19B1-0BA7-4780-A9F3-8918B63C210E}"/>
    <cellStyle name="Normal 10 3 5 2" xfId="2245" xr:uid="{4C59EA4D-559E-4AF7-8075-26C6B96EAEA9}"/>
    <cellStyle name="Normal 10 3 5 2 2" xfId="3525" xr:uid="{3D8BC8FC-013C-4189-92F8-3BEC2F756B34}"/>
    <cellStyle name="Normal 10 3 5 2 2 2" xfId="6979" xr:uid="{1865D0AC-24E6-4DC2-98B8-99C90FB4D467}"/>
    <cellStyle name="Normal 10 3 5 2 3" xfId="5240" xr:uid="{5D1C8572-A4DD-423E-AE22-FF45C2D5AF43}"/>
    <cellStyle name="Normal 10 3 5 3" xfId="2678" xr:uid="{885CDAF3-0005-4202-94B1-ABA98CBFF2C4}"/>
    <cellStyle name="Normal 10 3 5 3 2" xfId="6110" xr:uid="{18C8EE60-9F6F-4B2F-B3CF-A13596A1F6BB}"/>
    <cellStyle name="Normal 10 3 5 4" xfId="4370" xr:uid="{06908DCB-AA85-4C56-A56F-8D0379774231}"/>
    <cellStyle name="Normal 10 3 6" xfId="1428" xr:uid="{A5382672-B557-4D2F-A85C-D22D6127FF7D}"/>
    <cellStyle name="Normal 10 3 6 2" xfId="2031" xr:uid="{FEB33748-6D55-40C5-95F3-CFE4F01A84D3}"/>
    <cellStyle name="Normal 10 3 6 2 2" xfId="2041" xr:uid="{60843FF1-E0B2-4DDA-8224-A2A47C817671}"/>
    <cellStyle name="Normal 10 3 6 3" xfId="4805" xr:uid="{1E12B102-9C75-4E9A-8048-297D19112A06}"/>
    <cellStyle name="Normal 10 3 7" xfId="667" xr:uid="{CDFD9780-63A9-4DC0-BB1F-0ECC0F6B7F9D}"/>
    <cellStyle name="Normal 10 3 7 2" xfId="5675" xr:uid="{875D7407-933B-4658-BE99-C80FD4877844}"/>
    <cellStyle name="Normal 10 3 8" xfId="3953" xr:uid="{4D503475-B953-4444-8022-5206710154BB}"/>
    <cellStyle name="Normal 10 4" xfId="301" xr:uid="{E255EC39-43A4-4666-B778-402C0E300D06}"/>
    <cellStyle name="Normal 10 4 2" xfId="510" xr:uid="{60A9219C-4E84-4CC2-A6EB-D69DA1EB6D03}"/>
    <cellStyle name="Normal 10 4 2 2" xfId="1370" xr:uid="{D88A52AC-8C47-4181-94EA-45C9C8A1A53A}"/>
    <cellStyle name="Normal 10 4 2 2 2" xfId="2507" xr:uid="{ED59AB95-9456-4289-96E6-363E1E7B0B01}"/>
    <cellStyle name="Normal 10 4 2 2 2 2" xfId="3812" xr:uid="{7B232A17-4313-42FA-B7AF-A16D557459DD}"/>
    <cellStyle name="Normal 10 4 2 2 2 2 2" xfId="7269" xr:uid="{01DD09B7-0579-49E0-A71D-975107A31E8A}"/>
    <cellStyle name="Normal 10 4 2 2 2 3" xfId="5530" xr:uid="{4D29A737-54E2-4FEA-874F-0BB2607C0F2A}"/>
    <cellStyle name="Normal 10 4 2 2 3" xfId="2965" xr:uid="{1E6D66F8-E209-486D-AD9D-195037669321}"/>
    <cellStyle name="Normal 10 4 2 2 3 2" xfId="6400" xr:uid="{68877F83-B352-4AB4-8F2C-420B2AE21AD5}"/>
    <cellStyle name="Normal 10 4 2 2 4" xfId="4660" xr:uid="{63C28952-A0B0-4A57-90AD-6959D4966733}"/>
    <cellStyle name="Normal 10 4 2 3" xfId="1827" xr:uid="{3D6D276A-2696-4C04-A0F2-EFC85F960558}"/>
    <cellStyle name="Normal 10 4 2 3 2" xfId="3386" xr:uid="{3662835C-64C2-4458-9D96-6B0DF6DEDA7A}"/>
    <cellStyle name="Normal 10 4 2 3 2 2" xfId="6834" xr:uid="{381C1471-8892-4EA7-AA36-1E55C3DF39A2}"/>
    <cellStyle name="Normal 10 4 2 3 3" xfId="5095" xr:uid="{5C7C2DCD-B181-4B3A-BFD2-E9D3FEB6CE63}"/>
    <cellStyle name="Normal 10 4 2 4" xfId="957" xr:uid="{88427D10-D896-4829-852A-6D21AB526E88}"/>
    <cellStyle name="Normal 10 4 2 4 2" xfId="5965" xr:uid="{734D4914-04BF-47DC-8BFC-49D32CC53633}"/>
    <cellStyle name="Normal 10 4 2 5" xfId="4228" xr:uid="{AA1BC998-64C4-40B6-BFA2-841AEFE538AC}"/>
    <cellStyle name="Normal 10 4 3" xfId="1163" xr:uid="{DE171F0A-04B9-43EA-88DF-821173ABDA4D}"/>
    <cellStyle name="Normal 10 4 3 2" xfId="2317" xr:uid="{30D5FAB8-8A38-4FBB-8F6F-27B57CB59FD2}"/>
    <cellStyle name="Normal 10 4 3 2 2" xfId="3607" xr:uid="{589025D9-9E8C-4E67-B8A6-65829FC0D09D}"/>
    <cellStyle name="Normal 10 4 3 2 2 2" xfId="7062" xr:uid="{0EE67D77-2F23-4E1B-A00E-26A7A6A531C5}"/>
    <cellStyle name="Normal 10 4 3 2 3" xfId="5323" xr:uid="{DC9F787B-BFFA-4D24-82D7-E676CCD8B5DA}"/>
    <cellStyle name="Normal 10 4 3 3" xfId="2760" xr:uid="{79ADE13F-208E-4B74-A755-0C6C9C9F40D8}"/>
    <cellStyle name="Normal 10 4 3 3 2" xfId="6193" xr:uid="{31DC1A11-4759-4F5D-89F7-2587998A4754}"/>
    <cellStyle name="Normal 10 4 3 4" xfId="4453" xr:uid="{5AAA448C-9A86-4697-B360-E10E71FACB76}"/>
    <cellStyle name="Normal 10 4 4" xfId="1523" xr:uid="{5625406C-4CCD-49E5-9929-723799430F5F}"/>
    <cellStyle name="Normal 10 4 4 2" xfId="3188" xr:uid="{C9C3AB99-77A4-4E74-892B-03248AA52C2F}"/>
    <cellStyle name="Normal 10 4 4 2 2" xfId="6627" xr:uid="{6966259B-C28F-4059-9424-5AA912026695}"/>
    <cellStyle name="Normal 10 4 4 3" xfId="4888" xr:uid="{F946250F-14D7-4EDD-B354-880725BF7A26}"/>
    <cellStyle name="Normal 10 4 5" xfId="750" xr:uid="{7EDC1BE8-F20E-4338-9103-9242B55050FE}"/>
    <cellStyle name="Normal 10 4 5 2" xfId="5758" xr:uid="{C7166543-2ECE-4D8C-B1EA-951A2EF773D3}"/>
    <cellStyle name="Normal 10 4 6" xfId="4032" xr:uid="{F8CF8FB0-882E-468D-A1E3-99FEDA5273BC}"/>
    <cellStyle name="Normal 10 5" xfId="342" xr:uid="{112EFCEC-21A9-45D0-8319-B63D27A6FAFA}"/>
    <cellStyle name="Normal 10 5 2" xfId="1207" xr:uid="{86FBF332-263C-4770-AD1E-A25FD2B74971}"/>
    <cellStyle name="Normal 10 5 2 2" xfId="2353" xr:uid="{F0BE5005-7315-4748-9998-EEA3AA58D0A8}"/>
    <cellStyle name="Normal 10 5 2 2 2" xfId="3650" xr:uid="{4DA28C0D-C783-45F7-AD8E-A3CEFF6569E0}"/>
    <cellStyle name="Normal 10 5 2 2 2 2" xfId="7106" xr:uid="{27219247-44F0-4682-827D-B38EF5D850DF}"/>
    <cellStyle name="Normal 10 5 2 2 3" xfId="5367" xr:uid="{CE59BD90-2646-4B62-B57A-92971DEF60B2}"/>
    <cellStyle name="Normal 10 5 2 3" xfId="2803" xr:uid="{1A1E7A2F-B4B5-4593-9C3C-01CAB697CC32}"/>
    <cellStyle name="Normal 10 5 2 3 2" xfId="6237" xr:uid="{712049C4-251D-4FE2-AE4B-8E73C8927AE4}"/>
    <cellStyle name="Normal 10 5 2 4" xfId="4497" xr:uid="{81C46F7D-8005-4017-8DE9-4360FD6BCAFE}"/>
    <cellStyle name="Normal 10 5 3" xfId="1661" xr:uid="{900D9467-C37E-4316-9268-B7B14338AA81}"/>
    <cellStyle name="Normal 10 5 3 2" xfId="3231" xr:uid="{35F3733A-E544-46E2-B607-93C29247418F}"/>
    <cellStyle name="Normal 10 5 3 2 2" xfId="6671" xr:uid="{FC45D58B-F3CB-4F3B-8DE6-ECC5F5CA9C44}"/>
    <cellStyle name="Normal 10 5 3 3" xfId="4932" xr:uid="{28A033F0-53C9-4950-A8A4-E9FB63B5981C}"/>
    <cellStyle name="Normal 10 5 4" xfId="794" xr:uid="{29C2176D-578F-45FE-B33E-00BD233ABB3B}"/>
    <cellStyle name="Normal 10 5 4 2" xfId="5802" xr:uid="{B97823D1-1844-4C97-B8EE-0C5D4C79E8B7}"/>
    <cellStyle name="Normal 10 5 5" xfId="4074" xr:uid="{1E9093D3-8F44-4975-BE44-011DCF836382}"/>
    <cellStyle name="Normal 10 6" xfId="548" xr:uid="{4F28F39F-D674-467A-85F5-4091C1D4DEDA}"/>
    <cellStyle name="Normal 10 6 2" xfId="1408" xr:uid="{FDD44A90-7375-4F95-ACFE-DD7032EA4757}"/>
    <cellStyle name="Normal 10 6 2 2" xfId="3509" xr:uid="{35EAF120-F5FC-4D80-ABF1-81078524AB1C}"/>
    <cellStyle name="Normal 10 6 2 2 2" xfId="6962" xr:uid="{51A48516-E433-4E1C-9E10-03AE65EF94BF}"/>
    <cellStyle name="Normal 10 6 2 3" xfId="5223" xr:uid="{953814FC-C871-4607-A75C-28AE0824C714}"/>
    <cellStyle name="Normal 10 6 3" xfId="995" xr:uid="{FDE8067D-D2F8-493E-AEE2-704915189F1D}"/>
    <cellStyle name="Normal 10 6 3 2" xfId="6093" xr:uid="{F31F3594-9F83-4497-B56C-8F0C7AC6E58A}"/>
    <cellStyle name="Normal 10 6 4" xfId="4354" xr:uid="{1FAD39D2-593F-4127-AC59-344C70253BBF}"/>
    <cellStyle name="Normal 10 7" xfId="1063" xr:uid="{FFB7B0A8-F12A-4A7A-A511-D58373B1E663}"/>
    <cellStyle name="Normal 10 7 2" xfId="3093" xr:uid="{F35D350D-7440-416A-865C-5EFC2543E084}"/>
    <cellStyle name="Normal 10 7 2 2" xfId="6528" xr:uid="{C38D09FA-D97D-4C2F-847F-598552C6D33F}"/>
    <cellStyle name="Normal 10 7 3" xfId="4788" xr:uid="{85567DAE-7FB7-41D6-AE17-1B0F53D41822}"/>
    <cellStyle name="Normal 10 8" xfId="1423" xr:uid="{FF0BBCD0-FE9C-482B-B869-3E909947E7DB}"/>
    <cellStyle name="Normal 10 8 2" xfId="5658" xr:uid="{D4841C28-93D0-4117-8F01-1B8D316086C4}"/>
    <cellStyle name="Normal 10 8 3" xfId="2568" xr:uid="{6B2EDF25-0953-4E0C-BD75-989782566928}"/>
    <cellStyle name="Normal 10 9" xfId="650" xr:uid="{1316A1EE-FE64-44E9-BE73-794B51B7D17E}"/>
    <cellStyle name="Normal 10_Financial Instrument" xfId="1436" xr:uid="{BD47B616-6B0E-449A-B67B-495B2BE7CF3C}"/>
    <cellStyle name="Normal 11" xfId="118" xr:uid="{DAF7E098-3A37-47B7-A36B-548A61C2D021}"/>
    <cellStyle name="Normal 11 10" xfId="2039" xr:uid="{896D6B07-CEB7-456C-B876-CF92BDE53274}"/>
    <cellStyle name="Normal 11 2" xfId="313" xr:uid="{04C5A467-9B79-4244-AB01-DD9F22C67166}"/>
    <cellStyle name="Normal 11 2 2" xfId="523" xr:uid="{C24AAF1F-D0DA-438C-AE94-B911CFA72262}"/>
    <cellStyle name="Normal 11 2 2 2" xfId="1383" xr:uid="{88C80F57-1AA9-4871-A052-DD102FCCEB21}"/>
    <cellStyle name="Normal 11 2 2 2 2" xfId="2519" xr:uid="{70DD0D24-9792-4B67-B9B6-E6D3BE8D3CF7}"/>
    <cellStyle name="Normal 11 2 2 2 2 2" xfId="3825" xr:uid="{57ED431B-0EA8-474A-85DB-268532CDB477}"/>
    <cellStyle name="Normal 11 2 2 2 2 2 2" xfId="7282" xr:uid="{E72D7EEF-2021-4D40-AF12-0251BE1865CB}"/>
    <cellStyle name="Normal 11 2 2 2 2 3" xfId="5543" xr:uid="{74156A0C-5B54-4688-A394-60E1D1D9795B}"/>
    <cellStyle name="Normal 11 2 2 2 3" xfId="2978" xr:uid="{C488F0E7-DBF2-4964-A984-4A20313EFAEF}"/>
    <cellStyle name="Normal 11 2 2 2 3 2" xfId="6413" xr:uid="{F58F6D5C-9604-435E-AE06-F29CD12988D7}"/>
    <cellStyle name="Normal 11 2 2 2 4" xfId="4673" xr:uid="{94E96D2A-2503-444E-B9A5-4ECF915993D1}"/>
    <cellStyle name="Normal 11 2 2 3" xfId="1840" xr:uid="{1ABDC36D-30B0-4522-A6E5-B783FC74E842}"/>
    <cellStyle name="Normal 11 2 2 3 2" xfId="3398" xr:uid="{38D134DF-6018-4F78-B49F-A6DEC0B1B75F}"/>
    <cellStyle name="Normal 11 2 2 3 2 2" xfId="6847" xr:uid="{22F86C52-308A-453F-A7DE-5BC942ED5FCB}"/>
    <cellStyle name="Normal 11 2 2 3 3" xfId="5108" xr:uid="{A5141D52-327D-45AC-8410-2594DB8EF6A3}"/>
    <cellStyle name="Normal 11 2 2 4" xfId="970" xr:uid="{BD1D7D84-B01A-44AD-9DD3-64CC3EBA008D}"/>
    <cellStyle name="Normal 11 2 2 4 2" xfId="5978" xr:uid="{CF8A9239-D3BE-47C8-879C-38B2E8C2D9D7}"/>
    <cellStyle name="Normal 11 2 2 5" xfId="4240" xr:uid="{29F07917-0441-41EB-81D5-685533EBACBB}"/>
    <cellStyle name="Normal 11 2 3" xfId="1176" xr:uid="{23804758-C46D-4210-A586-CC77458BE7E8}"/>
    <cellStyle name="Normal 11 2 3 2" xfId="2327" xr:uid="{650C9091-613F-4E8E-A5A6-7C2E1AC5F4C5}"/>
    <cellStyle name="Normal 11 2 3 2 2" xfId="3620" xr:uid="{A97045E8-DE7F-4901-89FD-5112BD3AB6FE}"/>
    <cellStyle name="Normal 11 2 3 2 2 2" xfId="7075" xr:uid="{038E5955-2B92-4645-9208-270D3DA62C66}"/>
    <cellStyle name="Normal 11 2 3 2 3" xfId="5336" xr:uid="{FAA36AE7-1CD8-4EA7-8BD4-ED993CDDB742}"/>
    <cellStyle name="Normal 11 2 3 3" xfId="2773" xr:uid="{08C4887F-4BE9-45A1-95E4-2F7A5F467153}"/>
    <cellStyle name="Normal 11 2 3 3 2" xfId="6206" xr:uid="{292DF857-C373-4993-A484-3D4C4CAA74BE}"/>
    <cellStyle name="Normal 11 2 3 4" xfId="4466" xr:uid="{A9819599-AAF4-49EB-8829-5955EA3FA203}"/>
    <cellStyle name="Normal 11 2 4" xfId="1640" xr:uid="{A6C8837B-80D8-4A00-AEF1-548BAB51CBD7}"/>
    <cellStyle name="Normal 11 2 4 2" xfId="3200" xr:uid="{8EA8F72E-4AEE-4FD4-9D69-F034D9176E9F}"/>
    <cellStyle name="Normal 11 2 4 2 2" xfId="6640" xr:uid="{51AAC01B-5FE2-4F81-A628-65151D8678FC}"/>
    <cellStyle name="Normal 11 2 4 3" xfId="4901" xr:uid="{91DC6379-684A-44C2-BF8A-764712592184}"/>
    <cellStyle name="Normal 11 2 5" xfId="763" xr:uid="{966F4258-CAE0-4A7F-ABC2-CEA7047A61CB}"/>
    <cellStyle name="Normal 11 2 5 2" xfId="5771" xr:uid="{C493A42C-969E-4DDD-9E54-D4D3A7126576}"/>
    <cellStyle name="Normal 11 2 6" xfId="4044" xr:uid="{DE0A0A43-47C5-406C-9785-E25DB9B557DA}"/>
    <cellStyle name="Normal 11 3" xfId="425" xr:uid="{197842AC-8A49-4CA5-A1E8-10C549FEE37C}"/>
    <cellStyle name="Normal 11 3 2" xfId="1285" xr:uid="{A417D02A-2B2C-488A-B089-11909DEA5E58}"/>
    <cellStyle name="Normal 11 3 2 2" xfId="2426" xr:uid="{C7C09B43-87CA-474B-B956-FDA9D654FBBD}"/>
    <cellStyle name="Normal 11 3 2 2 2" xfId="3727" xr:uid="{8018790D-4F19-4295-94B6-807A9A5B44F7}"/>
    <cellStyle name="Normal 11 3 2 2 2 2" xfId="7184" xr:uid="{4CC99DC9-323F-499D-8AD2-99F668CF8799}"/>
    <cellStyle name="Normal 11 3 2 2 3" xfId="5445" xr:uid="{4E3E31AB-DE6E-49A0-82F8-941D15C1DC2C}"/>
    <cellStyle name="Normal 11 3 2 3" xfId="2880" xr:uid="{C17AE4C8-CBDD-4140-8210-0A8A61163511}"/>
    <cellStyle name="Normal 11 3 2 3 2" xfId="6315" xr:uid="{AF0BCB54-BEA1-4ADB-B926-0F706D9BB6F3}"/>
    <cellStyle name="Normal 11 3 2 4" xfId="4575" xr:uid="{02193CD6-6672-4E0D-B957-C3DE69B0A9F2}"/>
    <cellStyle name="Normal 11 3 3" xfId="1742" xr:uid="{740B5CA4-133F-4438-9679-BAD16DFC0379}"/>
    <cellStyle name="Normal 11 3 3 2" xfId="3305" xr:uid="{F79A94FD-2619-4E0E-AE32-868E795B7438}"/>
    <cellStyle name="Normal 11 3 3 2 2" xfId="6749" xr:uid="{704D330A-7460-4A2D-AE92-C39BEC4C2D3E}"/>
    <cellStyle name="Normal 11 3 3 3" xfId="5010" xr:uid="{91332637-6809-4AE9-9529-4E05DB330F48}"/>
    <cellStyle name="Normal 11 3 4" xfId="872" xr:uid="{5606BEE6-998D-4846-8E49-6853CA59BC75}"/>
    <cellStyle name="Normal 11 3 4 2" xfId="5880" xr:uid="{6CF71A06-8991-4455-8766-FB7B24877CEE}"/>
    <cellStyle name="Normal 11 3 5" xfId="4147" xr:uid="{C064D6AA-E7D7-4B5E-9B19-7D5C6C52DD3C}"/>
    <cellStyle name="Normal 11 4" xfId="1076" xr:uid="{AE60C34E-D43D-451F-B6F0-21DCB43B4FA8}"/>
    <cellStyle name="Normal 11 4 2" xfId="2242" xr:uid="{F5A18CF6-EEF1-4D02-87A3-B7EB280AED3B}"/>
    <cellStyle name="Normal 11 4 2 2" xfId="3521" xr:uid="{171F0609-C1DE-4383-BFB1-01CF95030858}"/>
    <cellStyle name="Normal 11 4 2 2 2" xfId="6975" xr:uid="{61608757-48D5-4BDA-BAAD-E492BACB9043}"/>
    <cellStyle name="Normal 11 4 2 3" xfId="5236" xr:uid="{31240385-8B3D-40BC-B263-88C861FA739E}"/>
    <cellStyle name="Normal 11 4 3" xfId="2674" xr:uid="{F21F5A59-BCEA-40DC-A5E3-CB2DBFDB95CE}"/>
    <cellStyle name="Normal 11 4 3 2" xfId="6106" xr:uid="{36941404-DC26-4836-A5B3-18601909F676}"/>
    <cellStyle name="Normal 11 4 4" xfId="4366" xr:uid="{3C935657-0E26-408E-A9CC-484072D2CE99}"/>
    <cellStyle name="Normal 11 5" xfId="1536" xr:uid="{65E9C0D7-5DD5-4B60-A83C-384DCCB02138}"/>
    <cellStyle name="Normal 11 5 2" xfId="3106" xr:uid="{E40AA2C0-53C4-42AE-A08E-BC10EAA32243}"/>
    <cellStyle name="Normal 11 5 2 2" xfId="6541" xr:uid="{29B2B381-DA87-473F-98F7-1D09A6C59F67}"/>
    <cellStyle name="Normal 11 5 3" xfId="4801" xr:uid="{F18847FC-82AA-4DE1-AB41-A5C542AD750B}"/>
    <cellStyle name="Normal 11 6" xfId="663" xr:uid="{8A566712-82E7-44D2-BAD1-B73B09B9A3D2}"/>
    <cellStyle name="Normal 11 6 2" xfId="5671" xr:uid="{57833104-BC7F-4E6B-BA22-9F2B8186C729}"/>
    <cellStyle name="Normal 11 7" xfId="3949" xr:uid="{5A089C01-B33F-4E9F-B3D3-0992E0DAEDB0}"/>
    <cellStyle name="Normal 11 9" xfId="2038" xr:uid="{C9ABEEB3-B71B-4112-AB1E-B9E1AA1E0447}"/>
    <cellStyle name="Normal 12" xfId="110" xr:uid="{4C6EEF06-CDE6-45A9-9659-27E0384AD5E7}"/>
    <cellStyle name="Normal 12 2" xfId="320" xr:uid="{E9D98E47-4D45-41B2-9463-5C322210FDC7}"/>
    <cellStyle name="Normal 12 2 2" xfId="530" xr:uid="{8F478CC4-CB12-4D78-8216-C2EAF2F3492D}"/>
    <cellStyle name="Normal 12 2 2 2" xfId="1390" xr:uid="{0AA16290-6251-4DC8-8179-456202A972C4}"/>
    <cellStyle name="Normal 12 2 2 2 2" xfId="2526" xr:uid="{69866BA4-95C4-4F7A-B0A4-60BA046C1CF1}"/>
    <cellStyle name="Normal 12 2 2 2 2 2" xfId="3832" xr:uid="{5A9F2402-82E4-47E6-8EE9-62BC7DF730F4}"/>
    <cellStyle name="Normal 12 2 2 2 2 2 2" xfId="7289" xr:uid="{903F769B-0B89-4966-A199-08C2EA92CC7C}"/>
    <cellStyle name="Normal 12 2 2 2 2 3" xfId="5550" xr:uid="{FFD53945-0690-4F4F-8A45-213F3B2C24EA}"/>
    <cellStyle name="Normal 12 2 2 2 3" xfId="2985" xr:uid="{B275CAC4-5A3B-449A-81DD-DF16B514B014}"/>
    <cellStyle name="Normal 12 2 2 2 3 2" xfId="6420" xr:uid="{24D4C724-E40E-4307-9779-F4D60F07115A}"/>
    <cellStyle name="Normal 12 2 2 2 4" xfId="4680" xr:uid="{50F65E4A-17E5-4C70-BE79-654367DAB3A3}"/>
    <cellStyle name="Normal 12 2 2 3" xfId="1847" xr:uid="{E1ADBDF7-A4E5-4602-A010-380D922364DA}"/>
    <cellStyle name="Normal 12 2 2 3 2" xfId="3405" xr:uid="{30027961-8DCE-41D3-BF09-2FFB8327C19F}"/>
    <cellStyle name="Normal 12 2 2 3 2 2" xfId="6854" xr:uid="{75CE424E-5FFF-4A72-AC91-E721C64545BC}"/>
    <cellStyle name="Normal 12 2 2 3 3" xfId="5115" xr:uid="{27442E75-51C2-49C7-BD1A-3E224DBC339C}"/>
    <cellStyle name="Normal 12 2 2 4" xfId="977" xr:uid="{BA9664C3-D073-419A-BA8D-98D09A6F6238}"/>
    <cellStyle name="Normal 12 2 2 4 2" xfId="5985" xr:uid="{D4EC5216-1996-49F4-93E0-5E7C7FB8CE04}"/>
    <cellStyle name="Normal 12 2 2 5" xfId="4247" xr:uid="{4F500E62-F354-4624-9509-A93CC7449059}"/>
    <cellStyle name="Normal 12 2 3" xfId="1183" xr:uid="{4B86E0C1-DE3B-4086-A179-0CD33EF3DBCF}"/>
    <cellStyle name="Normal 12 2 3 2" xfId="2332" xr:uid="{4C30EA66-78B9-43FA-B6DA-FE83684D592B}"/>
    <cellStyle name="Normal 12 2 3 2 2" xfId="3627" xr:uid="{D0A0BD9F-7C06-4BB4-A097-0E940F2716B9}"/>
    <cellStyle name="Normal 12 2 3 2 2 2" xfId="7082" xr:uid="{ED68B8F4-A626-4FC7-A91A-B7AE09A30A02}"/>
    <cellStyle name="Normal 12 2 3 2 3" xfId="5343" xr:uid="{B5C007BF-AE76-4B26-A44E-FC15A41DC264}"/>
    <cellStyle name="Normal 12 2 3 3" xfId="2780" xr:uid="{620AE8B1-CE88-4032-87F2-001EB66D3E27}"/>
    <cellStyle name="Normal 12 2 3 3 2" xfId="6213" xr:uid="{0D8375BB-B164-46D5-88E7-7181CDEAF099}"/>
    <cellStyle name="Normal 12 2 3 4" xfId="4473" xr:uid="{0CE6734F-076C-4A30-9D25-C92D18AACD5E}"/>
    <cellStyle name="Normal 12 2 4" xfId="1644" xr:uid="{F3A89EA3-94DC-4197-A55F-C1075206B226}"/>
    <cellStyle name="Normal 12 2 4 2" xfId="3207" xr:uid="{CFD66C1C-72B7-40B0-A338-8248D5C84EFD}"/>
    <cellStyle name="Normal 12 2 4 2 2" xfId="6647" xr:uid="{541F31F6-A388-4767-9C51-CF49C2A4E84A}"/>
    <cellStyle name="Normal 12 2 4 3" xfId="4908" xr:uid="{D07CE415-B6B1-44B3-BD8D-C5C0FAB220E4}"/>
    <cellStyle name="Normal 12 2 5" xfId="770" xr:uid="{0DB7D6C6-D4CB-4CA3-9DEB-E58EFFC9E17D}"/>
    <cellStyle name="Normal 12 2 5 2" xfId="5778" xr:uid="{24BE7A0F-AEE2-484E-9A21-F471792C3EA2}"/>
    <cellStyle name="Normal 12 2 6" xfId="4051" xr:uid="{D6154314-04A0-443D-BB93-3D8BB4CB3EA3}"/>
    <cellStyle name="Normal 12 3" xfId="432" xr:uid="{772AE263-6A2F-4747-BCCA-B6AE0A2B5AFE}"/>
    <cellStyle name="Normal 12 3 2" xfId="1292" xr:uid="{0B50413B-D3B7-46EF-B076-766F46453BDD}"/>
    <cellStyle name="Normal 12 3 2 2" xfId="2433" xr:uid="{FBF9729D-26DC-4AF8-A703-EF36FEA1503C}"/>
    <cellStyle name="Normal 12 3 2 2 2" xfId="3734" xr:uid="{A62ABDBE-F21F-4189-9AE4-6A380B428FC1}"/>
    <cellStyle name="Normal 12 3 2 2 2 2" xfId="7191" xr:uid="{0A64FA91-F2BE-4068-B6BB-08E288FAEA60}"/>
    <cellStyle name="Normal 12 3 2 2 3" xfId="5452" xr:uid="{191CB513-212A-4142-9424-4A50D7AE394D}"/>
    <cellStyle name="Normal 12 3 2 3" xfId="2887" xr:uid="{7EDCACF8-047A-48D7-9C65-1F51FD057453}"/>
    <cellStyle name="Normal 12 3 2 3 2" xfId="6322" xr:uid="{C7D0DC49-7BD7-45CF-9D5C-2C67DB048AEC}"/>
    <cellStyle name="Normal 12 3 2 4" xfId="4582" xr:uid="{B40A9F22-E724-4545-909C-C69DB4072C24}"/>
    <cellStyle name="Normal 12 3 3" xfId="1749" xr:uid="{4D8309C0-CFBC-4427-BA60-911C56D762CA}"/>
    <cellStyle name="Normal 12 3 3 2" xfId="3312" xr:uid="{5DFDA7E6-14AE-4BB2-BB65-C15C1D35DF31}"/>
    <cellStyle name="Normal 12 3 3 2 2" xfId="6756" xr:uid="{7300D4A2-DDD4-488E-A229-848472F7A25A}"/>
    <cellStyle name="Normal 12 3 3 3" xfId="5017" xr:uid="{0AD3B5B0-69DF-4F35-A0CB-5C237A4C4228}"/>
    <cellStyle name="Normal 12 3 4" xfId="879" xr:uid="{E63AE3EC-605E-4AA6-9846-E7FD72792F0D}"/>
    <cellStyle name="Normal 12 3 4 2" xfId="5887" xr:uid="{B9D4EC02-FAD9-47D3-AC01-3707E7020378}"/>
    <cellStyle name="Normal 12 3 5" xfId="4154" xr:uid="{DD38D104-BAE7-4540-AEF1-9CFAEEBFAB14}"/>
    <cellStyle name="Normal 12 4" xfId="544" xr:uid="{D37A950D-A824-4C92-A923-B26E3386D0F3}"/>
    <cellStyle name="Normal 12 4 2" xfId="1404" xr:uid="{BE2CD195-7587-44D5-B43D-09283DBDB552}"/>
    <cellStyle name="Normal 12 4 2 2" xfId="2551" xr:uid="{0132D4BC-EB21-4234-823F-C5BA1CF15421}"/>
    <cellStyle name="Normal 12 4 2 2 2" xfId="3857" xr:uid="{138CACF4-B575-438A-AF57-1C1136DE66D0}"/>
    <cellStyle name="Normal 12 4 2 2 2 2" xfId="7314" xr:uid="{52C79D4B-1D58-4721-A6B2-BB9829B4E2B6}"/>
    <cellStyle name="Normal 12 4 2 2 3" xfId="5575" xr:uid="{6BBA8573-DD8B-4004-95B5-17FBBAD57968}"/>
    <cellStyle name="Normal 12 4 2 3" xfId="3010" xr:uid="{CF139C5D-412B-49C9-B147-19118E5A17AD}"/>
    <cellStyle name="Normal 12 4 2 3 2" xfId="6445" xr:uid="{26A1C78B-DEF9-4460-B86B-62FA36851F10}"/>
    <cellStyle name="Normal 12 4 2 4" xfId="4705" xr:uid="{35F610EA-0F33-416B-862A-B9086FB48826}"/>
    <cellStyle name="Normal 12 4 3" xfId="991" xr:uid="{78823427-407C-4480-8A13-A5896EF59815}"/>
    <cellStyle name="Normal 12 4 3 2" xfId="3430" xr:uid="{04BA69F8-0E33-4D93-BFCE-760B23D6E89D}"/>
    <cellStyle name="Normal 12 4 3 2 2" xfId="6879" xr:uid="{4C690F35-F15C-49C9-B653-BC0C25AF0609}"/>
    <cellStyle name="Normal 12 4 3 3" xfId="5140" xr:uid="{C295DB55-AA58-4978-8F11-54072E6E82A6}"/>
    <cellStyle name="Normal 12 4 4" xfId="2588" xr:uid="{7371765F-A0EA-4C5D-AD22-B86C6587ADA3}"/>
    <cellStyle name="Normal 12 4 4 2" xfId="6010" xr:uid="{8D425BFF-5A3E-4C05-836E-94FD7341B6EC}"/>
    <cellStyle name="Normal 12 4 5" xfId="4272" xr:uid="{471385F3-D41C-4144-8CDC-EA3647BCE78D}"/>
    <cellStyle name="Normal 12 5" xfId="1083" xr:uid="{EA83E68F-12E7-4A0D-A2BB-0FBE320B9FC4}"/>
    <cellStyle name="Normal 12 5 2" xfId="2247" xr:uid="{C385FEA0-BA6D-48D2-BD76-D918FAB44115}"/>
    <cellStyle name="Normal 12 5 2 2" xfId="3528" xr:uid="{CE53E7B2-7DB4-49EE-A068-9E3CE7806650}"/>
    <cellStyle name="Normal 12 5 2 2 2" xfId="6982" xr:uid="{05899846-CA6F-4DA8-B7F4-C68F2431B7A8}"/>
    <cellStyle name="Normal 12 5 2 3" xfId="5243" xr:uid="{9D06B3BB-C603-4A5E-9EB4-A360D5762832}"/>
    <cellStyle name="Normal 12 5 3" xfId="2681" xr:uid="{A6395E21-089C-4CF6-BE86-3107E59C7358}"/>
    <cellStyle name="Normal 12 5 3 2" xfId="6113" xr:uid="{14A50DF6-C18C-4401-BF33-FB55613029EC}"/>
    <cellStyle name="Normal 12 5 4" xfId="4373" xr:uid="{32044D41-7F7F-4D8A-B7BA-01D463B8CB03}"/>
    <cellStyle name="Normal 12 6" xfId="1446" xr:uid="{89602387-4E1A-4634-88C5-8D26D379243B}"/>
    <cellStyle name="Normal 12 6 2" xfId="3112" xr:uid="{EAE1B62F-F707-4959-A754-E225D52A6999}"/>
    <cellStyle name="Normal 12 6 2 2" xfId="6547" xr:uid="{EC5EF6CC-AACF-42B9-9689-B6E45AE0DCAD}"/>
    <cellStyle name="Normal 12 6 3" xfId="4808" xr:uid="{02504E46-E8AD-417C-812D-1376CE6AE7C3}"/>
    <cellStyle name="Normal 12 7" xfId="670" xr:uid="{12F10FBE-44FF-46C7-B900-362FFEEC2E68}"/>
    <cellStyle name="Normal 12 7 2" xfId="5678" xr:uid="{0EBC5447-A24C-4C73-9A12-865AEC76FD07}"/>
    <cellStyle name="Normal 12 8" xfId="3956" xr:uid="{AAA29FBF-5002-4881-AF89-5B41B64AEE8E}"/>
    <cellStyle name="Normal 13" xfId="226" xr:uid="{1AE2A6BC-C9B1-4AC4-A84B-C817F7DEFA4A}"/>
    <cellStyle name="Normal 13 2" xfId="323" xr:uid="{066B20CA-587C-4055-85E7-C1D2266F8C0D}"/>
    <cellStyle name="Normal 13 2 2" xfId="533" xr:uid="{B0715E2D-DCC5-4D12-90DC-83FF703B2C15}"/>
    <cellStyle name="Normal 13 2 2 2" xfId="1393" xr:uid="{445176D3-F9D4-4743-88BB-714DFB594B66}"/>
    <cellStyle name="Normal 13 2 2 2 2" xfId="2529" xr:uid="{82BFE915-ED1D-47C5-90C2-5BBD948B380E}"/>
    <cellStyle name="Normal 13 2 2 2 2 2" xfId="3835" xr:uid="{CF74A748-79B2-4713-9236-ACBFC67F48F3}"/>
    <cellStyle name="Normal 13 2 2 2 2 2 2" xfId="7292" xr:uid="{918C1CF7-0458-4FFC-B1E6-40D6342CCFEA}"/>
    <cellStyle name="Normal 13 2 2 2 2 3" xfId="5553" xr:uid="{0BEA23E9-E929-4CBB-A5E1-E95F5127DC69}"/>
    <cellStyle name="Normal 13 2 2 2 3" xfId="2988" xr:uid="{E4905B2B-3723-4531-8392-2624033505E3}"/>
    <cellStyle name="Normal 13 2 2 2 3 2" xfId="6423" xr:uid="{7872C785-A979-46DB-B15C-046FD0B938E9}"/>
    <cellStyle name="Normal 13 2 2 2 4" xfId="4683" xr:uid="{2BCEBFA6-EF6D-4D0C-BCB0-8E429C48F504}"/>
    <cellStyle name="Normal 13 2 2 3" xfId="1850" xr:uid="{6997AE84-59D0-4324-A466-403BF7815BAF}"/>
    <cellStyle name="Normal 13 2 2 3 2" xfId="3408" xr:uid="{DA9C3FB7-B78F-4E7C-A4FF-0D66FF5E97FA}"/>
    <cellStyle name="Normal 13 2 2 3 2 2" xfId="6857" xr:uid="{8F602571-97FF-4085-A63F-FB96A8626DE6}"/>
    <cellStyle name="Normal 13 2 2 3 3" xfId="5118" xr:uid="{F25C4A6D-E716-481F-B361-FFB1AC7DCB54}"/>
    <cellStyle name="Normal 13 2 2 4" xfId="980" xr:uid="{01479187-662A-4299-91D2-918E6415E8AE}"/>
    <cellStyle name="Normal 13 2 2 4 2" xfId="5988" xr:uid="{BC2CD13B-6A51-40E8-80EC-C4027F020BA2}"/>
    <cellStyle name="Normal 13 2 2 5" xfId="4250" xr:uid="{C9AACEF7-3FBE-4E9A-A782-F9977D95217B}"/>
    <cellStyle name="Normal 13 2 3" xfId="1186" xr:uid="{16FFBE8C-3804-4D73-A741-19AF78204E34}"/>
    <cellStyle name="Normal 13 2 3 2" xfId="2335" xr:uid="{1E6BF3CC-389B-4DC0-9A0D-3E9AB84E54CF}"/>
    <cellStyle name="Normal 13 2 3 2 2" xfId="3630" xr:uid="{AEC69441-C4DF-41D2-AA23-5965D8AE7638}"/>
    <cellStyle name="Normal 13 2 3 2 2 2" xfId="7085" xr:uid="{F965CBAE-DB6D-445E-9EC6-17400BFD2002}"/>
    <cellStyle name="Normal 13 2 3 2 3" xfId="5346" xr:uid="{92348242-7776-4F60-B5BB-F48CEF7E5591}"/>
    <cellStyle name="Normal 13 2 3 3" xfId="2783" xr:uid="{18DA58DE-959E-4AB3-99D1-09137287FF3D}"/>
    <cellStyle name="Normal 13 2 3 3 2" xfId="6216" xr:uid="{83A18870-0200-4568-8387-5894260E48C0}"/>
    <cellStyle name="Normal 13 2 3 4" xfId="4476" xr:uid="{F358C52A-7D4B-4EAC-977A-C8EA3C987BF5}"/>
    <cellStyle name="Normal 13 2 4" xfId="1545" xr:uid="{BA3DB2EE-4BB2-454C-90FF-6820FC860AB5}"/>
    <cellStyle name="Normal 13 2 4 2" xfId="3210" xr:uid="{949F96AB-734C-4469-A5AC-61982ADE44FE}"/>
    <cellStyle name="Normal 13 2 4 2 2" xfId="6650" xr:uid="{084B6BC7-E417-47F6-B513-4460F2F4555B}"/>
    <cellStyle name="Normal 13 2 4 3" xfId="4911" xr:uid="{A2FDF285-483C-481C-9162-CC1281AF883C}"/>
    <cellStyle name="Normal 13 2 5" xfId="773" xr:uid="{2B1DBA68-A1D9-4958-B964-B800FC263D82}"/>
    <cellStyle name="Normal 13 2 5 2" xfId="5781" xr:uid="{058CDAA0-204C-4C07-8F77-B4A82FE56284}"/>
    <cellStyle name="Normal 13 2 6" xfId="4054" xr:uid="{F0ABECE1-B57C-4622-8625-373FC4512A28}"/>
    <cellStyle name="Normal 13 3" xfId="435" xr:uid="{2386FA26-057E-4B75-A4DF-3901404C8B1B}"/>
    <cellStyle name="Normal 13 3 2" xfId="1295" xr:uid="{70F6E107-2F33-4294-AA30-B5B0DB7215FE}"/>
    <cellStyle name="Normal 13 3 2 2" xfId="2436" xr:uid="{971B47D8-2494-4C55-B982-101D8D541C4B}"/>
    <cellStyle name="Normal 13 3 2 2 2" xfId="3737" xr:uid="{51D6B844-F300-45FA-BCBA-6703773E15FB}"/>
    <cellStyle name="Normal 13 3 2 2 2 2" xfId="7194" xr:uid="{F33BE57C-4A00-46CF-B47D-BF6BC6D695C3}"/>
    <cellStyle name="Normal 13 3 2 2 3" xfId="5455" xr:uid="{A8F58C92-9B84-43A0-9112-EF28056A245D}"/>
    <cellStyle name="Normal 13 3 2 3" xfId="2890" xr:uid="{E250B947-A041-41AA-A7A9-082876423500}"/>
    <cellStyle name="Normal 13 3 2 3 2" xfId="6325" xr:uid="{D8023D01-300B-4F2F-A315-846AF07B1DCA}"/>
    <cellStyle name="Normal 13 3 2 4" xfId="4585" xr:uid="{F6D45F54-8F0C-45C6-94FA-5EF52559B070}"/>
    <cellStyle name="Normal 13 3 3" xfId="1752" xr:uid="{546D0610-08EF-4BB2-AB5D-D86236CFD4EA}"/>
    <cellStyle name="Normal 13 3 3 2" xfId="3315" xr:uid="{26B3E3E8-2AFF-4239-9227-CBA2D74ACCA4}"/>
    <cellStyle name="Normal 13 3 3 2 2" xfId="6759" xr:uid="{63291A26-F936-4243-B704-CD80AE120C49}"/>
    <cellStyle name="Normal 13 3 3 3" xfId="5020" xr:uid="{AB8193D2-C92A-4EB9-B78F-73810EC920D7}"/>
    <cellStyle name="Normal 13 3 4" xfId="882" xr:uid="{F14E869D-B361-4E16-ADDB-6703FBF7A1EE}"/>
    <cellStyle name="Normal 13 3 4 2" xfId="5890" xr:uid="{39F250CC-5BC2-4B77-8292-50F7A86830B7}"/>
    <cellStyle name="Normal 13 3 5" xfId="4157" xr:uid="{6B231633-A466-48F1-92C4-E899286823E2}"/>
    <cellStyle name="Normal 13 4" xfId="1086" xr:uid="{3FCA31A8-1670-4744-A6BF-9036CBF2EAC9}"/>
    <cellStyle name="Normal 13 4 2" xfId="2250" xr:uid="{E9D45C68-C254-4832-A0C4-26C6BC9EBE3A}"/>
    <cellStyle name="Normal 13 4 2 2" xfId="3531" xr:uid="{432D0926-2FB4-48C8-A016-2EA7C9377444}"/>
    <cellStyle name="Normal 13 4 2 2 2" xfId="6985" xr:uid="{C14880B5-ABD8-4AA8-B4DF-18425DD04AD8}"/>
    <cellStyle name="Normal 13 4 2 3" xfId="5246" xr:uid="{EA3015C9-DDDD-428F-A732-4A8EFE583E24}"/>
    <cellStyle name="Normal 13 4 3" xfId="2684" xr:uid="{B429B756-D11B-4E02-9E2D-DF3AB06C4ACE}"/>
    <cellStyle name="Normal 13 4 3 2" xfId="6116" xr:uid="{6DD97F55-8153-45A4-BED5-425A1FF44EB5}"/>
    <cellStyle name="Normal 13 4 4" xfId="4376" xr:uid="{90CC4976-8C23-4372-BAAB-F57DFC1B082B}"/>
    <cellStyle name="Normal 13 5" xfId="1431" xr:uid="{B767344F-F563-4BBA-962E-14A669D82DA6}"/>
    <cellStyle name="Normal 13 5 2" xfId="3114" xr:uid="{C2308F01-00B1-44CE-B9A3-F4B0EF430446}"/>
    <cellStyle name="Normal 13 5 2 2" xfId="6550" xr:uid="{50EACE54-D7E4-419A-93C4-1146761114F4}"/>
    <cellStyle name="Normal 13 5 3" xfId="4811" xr:uid="{A2A878FD-00A5-4F60-93A6-4219FDA874B8}"/>
    <cellStyle name="Normal 13 5 4" xfId="2150" xr:uid="{8ECB40FB-FE5A-436E-A80A-1F52EE95E809}"/>
    <cellStyle name="Normal 13 6" xfId="673" xr:uid="{CF42F207-3B8C-483A-B2CA-15C2CD17DF5E}"/>
    <cellStyle name="Normal 13 6 2" xfId="5681" xr:uid="{73426C47-EBD9-4996-9EF5-2E5F8B00525B}"/>
    <cellStyle name="Normal 13 7" xfId="3959" xr:uid="{9F6C59D5-BC98-4694-99B5-7B5391FB7302}"/>
    <cellStyle name="Normal 14" xfId="38" xr:uid="{DCFFBADB-77A0-41CC-9A3B-5FE7DF412E47}"/>
    <cellStyle name="Normal 14 10" xfId="3960" xr:uid="{18EB0C89-172F-473D-A7BD-F8D40D47F012}"/>
    <cellStyle name="Normal 14 11" xfId="102" xr:uid="{186685E1-A68E-412E-90EA-9309A073776A}"/>
    <cellStyle name="Normal 14 2" xfId="324" xr:uid="{C8D9C9B5-213A-4067-A364-BBAF2B369A5E}"/>
    <cellStyle name="Normal 14 2 2" xfId="534" xr:uid="{E1C2F588-6688-4F6C-AC95-9B35E68E5961}"/>
    <cellStyle name="Normal 14 2 2 2" xfId="1394" xr:uid="{5A4B2825-D29F-4485-8D6C-66B24BF36BB2}"/>
    <cellStyle name="Normal 14 2 2 2 2" xfId="2530" xr:uid="{88F6968D-C29A-4B3E-899C-FB0AFD1E80D4}"/>
    <cellStyle name="Normal 14 2 2 2 2 2" xfId="3836" xr:uid="{2ADFFD0F-DA8B-4BE6-9EE1-91BA024746A3}"/>
    <cellStyle name="Normal 14 2 2 2 2 2 2" xfId="7293" xr:uid="{1F977BC8-A8FE-4BF3-88E6-AA7AFD2EED9E}"/>
    <cellStyle name="Normal 14 2 2 2 2 3" xfId="5554" xr:uid="{8899A340-D950-4F19-9401-A8E8D2B3F04F}"/>
    <cellStyle name="Normal 14 2 2 2 3" xfId="2989" xr:uid="{396FCB36-A852-440E-B340-E9AA9033F125}"/>
    <cellStyle name="Normal 14 2 2 2 3 2" xfId="6424" xr:uid="{828A16FA-8B20-422C-B490-8012D44ABA54}"/>
    <cellStyle name="Normal 14 2 2 2 4" xfId="4684" xr:uid="{C645751D-66B8-4BAE-8454-1F2CEC99D331}"/>
    <cellStyle name="Normal 14 2 2 3" xfId="1851" xr:uid="{057C8A80-CB2B-44B1-B81C-578BF6FBD53D}"/>
    <cellStyle name="Normal 14 2 2 3 2" xfId="3409" xr:uid="{B96AFAB8-EFD5-4FAD-B8BC-22AADD74924F}"/>
    <cellStyle name="Normal 14 2 2 3 2 2" xfId="6858" xr:uid="{5E2018EF-EF19-43A8-87BA-D06AC0EAC303}"/>
    <cellStyle name="Normal 14 2 2 3 3" xfId="5119" xr:uid="{BDA92F7F-7D2A-4A84-AF01-840133179FBC}"/>
    <cellStyle name="Normal 14 2 2 4" xfId="981" xr:uid="{8067B2DE-BE8A-4895-A97F-8198342C0553}"/>
    <cellStyle name="Normal 14 2 2 4 2" xfId="5989" xr:uid="{B456E1F0-33B7-427F-BE7C-348A6C98F480}"/>
    <cellStyle name="Normal 14 2 2 5" xfId="4251" xr:uid="{D12101A9-1BA1-4BB4-BE76-4F81509523C7}"/>
    <cellStyle name="Normal 14 2 3" xfId="1187" xr:uid="{255094BF-2B86-4980-BFD7-342ADFA1C199}"/>
    <cellStyle name="Normal 14 2 3 2" xfId="2336" xr:uid="{5967A2B8-3B6A-4203-BA3C-61FF8B9C9835}"/>
    <cellStyle name="Normal 14 2 3 2 2" xfId="3631" xr:uid="{FD2C3F99-EB57-4E1A-BE35-3AF3A2002B68}"/>
    <cellStyle name="Normal 14 2 3 2 2 2" xfId="7086" xr:uid="{1B1EC497-68D1-432C-99DD-E28F3677B7CD}"/>
    <cellStyle name="Normal 14 2 3 2 3" xfId="5347" xr:uid="{0244198A-4072-457F-8DB7-0FE9BBCEE34D}"/>
    <cellStyle name="Normal 14 2 3 3" xfId="2784" xr:uid="{1247F2D8-DC3B-4242-AFBF-F29A77D10455}"/>
    <cellStyle name="Normal 14 2 3 3 2" xfId="6217" xr:uid="{1F3019EE-2771-49E0-812B-7231B9221DF5}"/>
    <cellStyle name="Normal 14 2 3 4" xfId="4477" xr:uid="{64932AAC-2B74-4DA9-A10E-98B0BC16B5EB}"/>
    <cellStyle name="Normal 14 2 4" xfId="1547" xr:uid="{83C9C06E-B01C-4BE6-8880-E54B867B5F18}"/>
    <cellStyle name="Normal 14 2 4 2" xfId="3211" xr:uid="{35BBA664-0070-4B58-8FDC-843AC0AA7339}"/>
    <cellStyle name="Normal 14 2 4 2 2" xfId="6651" xr:uid="{C41CBAAE-45BD-4072-94C6-3471C777D27C}"/>
    <cellStyle name="Normal 14 2 4 3" xfId="4912" xr:uid="{D387A0E3-8116-4958-8546-CCCB63540C48}"/>
    <cellStyle name="Normal 14 2 5" xfId="774" xr:uid="{7482C58D-5680-4038-93A8-4CC92CEC22C6}"/>
    <cellStyle name="Normal 14 2 5 2" xfId="5782" xr:uid="{AA75ECD8-18D2-452D-A918-EDB90BF0ECAA}"/>
    <cellStyle name="Normal 14 2 6" xfId="4055" xr:uid="{6514F13C-EEDD-40F2-9320-C45C703E7B2E}"/>
    <cellStyle name="Normal 14 3" xfId="436" xr:uid="{580EC30B-BD8E-4635-9668-C0DE2404F9C3}"/>
    <cellStyle name="Normal 14 3 2" xfId="1296" xr:uid="{660DE978-B757-4E5C-AE74-C723ACEC2F16}"/>
    <cellStyle name="Normal 14 3 2 2" xfId="2437" xr:uid="{39E25B5A-2EA0-41BC-BB3C-A6229CEDD405}"/>
    <cellStyle name="Normal 14 3 2 2 2" xfId="3738" xr:uid="{50E0B99B-2B80-4D28-98BE-1E3C2F3ADD78}"/>
    <cellStyle name="Normal 14 3 2 2 2 2" xfId="7195" xr:uid="{118737AF-7F21-467B-A0AF-F990143B0A22}"/>
    <cellStyle name="Normal 14 3 2 2 3" xfId="5456" xr:uid="{FA2C8D68-FBB9-4245-96D6-BBBBB33E274A}"/>
    <cellStyle name="Normal 14 3 2 3" xfId="2891" xr:uid="{AECF5245-59ED-4AB3-A267-12F4ABD20995}"/>
    <cellStyle name="Normal 14 3 2 3 2" xfId="6326" xr:uid="{58EA90DC-5946-48FD-A2C0-DBEA198C6DE1}"/>
    <cellStyle name="Normal 14 3 2 4" xfId="4586" xr:uid="{6AF5CA78-DCEB-4742-B5CB-5391CF5E8CC3}"/>
    <cellStyle name="Normal 14 3 3" xfId="1753" xr:uid="{54DD8CF2-6AA1-4FB9-86B5-5C712BD77199}"/>
    <cellStyle name="Normal 14 3 3 2" xfId="3316" xr:uid="{9FC2432A-9F2E-453E-9B6D-4349A9405A79}"/>
    <cellStyle name="Normal 14 3 3 2 2" xfId="6760" xr:uid="{02C58829-98C4-4F60-A528-B43C7EE83328}"/>
    <cellStyle name="Normal 14 3 3 3" xfId="5021" xr:uid="{8BA11C48-4F49-432B-A97B-A299BE975C01}"/>
    <cellStyle name="Normal 14 3 4" xfId="883" xr:uid="{A9B725E9-7C9B-4D6C-8B61-8BFE2D940545}"/>
    <cellStyle name="Normal 14 3 4 2" xfId="5891" xr:uid="{9A2D4408-8AA9-45D2-BF8F-ED91DF721E80}"/>
    <cellStyle name="Normal 14 3 5" xfId="4158" xr:uid="{989D537A-7203-4583-8850-0584C4CD4684}"/>
    <cellStyle name="Normal 14 4" xfId="1087" xr:uid="{A5819DE1-C102-4B08-9694-8688C71EDAFE}"/>
    <cellStyle name="Normal 14 4 2" xfId="2088" xr:uid="{97F62F11-AAA2-4416-AFA2-ABC26F62F6D4}"/>
    <cellStyle name="Normal 14 4 2 2" xfId="2543" xr:uid="{8F2F5BAD-68F0-4935-A2F4-6C9F7D982CC2}"/>
    <cellStyle name="Normal 14 4 2 2 2" xfId="3849" xr:uid="{AA2F5F25-621F-4F13-B71B-C4B4ABAF5554}"/>
    <cellStyle name="Normal 14 4 2 2 2 2" xfId="7306" xr:uid="{7939896E-E87B-4B9D-86BD-B45673E84562}"/>
    <cellStyle name="Normal 14 4 2 2 3" xfId="5567" xr:uid="{EDB1F284-2E3A-468E-8425-63050FFB3801}"/>
    <cellStyle name="Normal 14 4 2 3" xfId="3002" xr:uid="{37052A1B-E9C5-4408-9445-E13E8C62FE60}"/>
    <cellStyle name="Normal 14 4 2 3 2" xfId="6437" xr:uid="{FCF2F4AF-78E9-4CC8-A76E-D1D223828403}"/>
    <cellStyle name="Normal 14 4 2 4" xfId="4697" xr:uid="{83AD86CB-BE05-44C0-9BF0-F5803D8B551D}"/>
    <cellStyle name="Normal 14 4 3" xfId="2155" xr:uid="{D040BBB3-07D8-4D8E-9B1B-CB4A4FEB5C60}"/>
    <cellStyle name="Normal 14 4 3 2" xfId="3422" xr:uid="{5FB9F988-3DF9-451B-B95C-04A6BDF54C76}"/>
    <cellStyle name="Normal 14 4 3 2 2" xfId="6871" xr:uid="{22F240AC-99A3-4DE1-9DB4-9D77565CC9AB}"/>
    <cellStyle name="Normal 14 4 3 3" xfId="5132" xr:uid="{58BD5AF6-A7F2-41DF-9715-3AF0048A3C63}"/>
    <cellStyle name="Normal 14 4 4" xfId="2580" xr:uid="{5F213A66-1789-4E22-8F52-DF9B7EA61605}"/>
    <cellStyle name="Normal 14 4 4 2" xfId="6002" xr:uid="{48CCA335-A29B-4451-AF97-0281EC1AD05B}"/>
    <cellStyle name="Normal 14 4 5" xfId="4264" xr:uid="{78C4488A-2AF0-430D-810A-943AF42284A0}"/>
    <cellStyle name="Normal 14 5" xfId="1435" xr:uid="{DBAA1B6A-B369-4A8B-A5B9-C6730B6D7637}"/>
    <cellStyle name="Normal 14 5 2" xfId="2025" xr:uid="{B5674E2A-C4F2-4720-9B85-76EB817C3E82}"/>
    <cellStyle name="Normal 14 5 2 2" xfId="2546" xr:uid="{1BBD94C8-2FAB-4849-AA49-51A5A8FA8090}"/>
    <cellStyle name="Normal 14 5 2 2 2" xfId="3852" xr:uid="{3F90E041-DC6F-449C-934E-1EB6733DDF88}"/>
    <cellStyle name="Normal 14 5 2 2 2 2" xfId="7309" xr:uid="{0EE0565E-3E9D-4290-9DE9-2DDFC54F962E}"/>
    <cellStyle name="Normal 14 5 2 2 3" xfId="5570" xr:uid="{D34B9606-8307-4640-BD23-6604A7A7BD97}"/>
    <cellStyle name="Normal 14 5 2 3" xfId="3005" xr:uid="{A26D6291-0F27-4CDA-AE77-C862E3EB549F}"/>
    <cellStyle name="Normal 14 5 2 3 2" xfId="6440" xr:uid="{AEC2008E-85E4-41F1-B543-6B2BFA983207}"/>
    <cellStyle name="Normal 14 5 2 4" xfId="3877" xr:uid="{782D27D4-3716-4FFB-B3B8-2B09C81F86BB}"/>
    <cellStyle name="Normal 14 5 2 5" xfId="4700" xr:uid="{220FD5C0-2A03-437B-8377-48F9FFF325A5}"/>
    <cellStyle name="Normal 14 5 3" xfId="2157" xr:uid="{63E93B55-BB60-41FF-913A-D5D9266BC777}"/>
    <cellStyle name="Normal 14 5 3 2" xfId="3425" xr:uid="{FDC3C2EA-2FC3-44DB-9C08-3CE431AD8887}"/>
    <cellStyle name="Normal 14 5 3 2 2" xfId="6874" xr:uid="{B3646991-3781-40AD-AE03-9B1289097BBF}"/>
    <cellStyle name="Normal 14 5 3 3" xfId="5135" xr:uid="{1E591F00-4396-4EBC-A033-521E1B6554E6}"/>
    <cellStyle name="Normal 14 5 4" xfId="2583" xr:uid="{69511262-FD70-4204-9758-118B583C34CD}"/>
    <cellStyle name="Normal 14 5 4 2" xfId="6005" xr:uid="{B3DB7E08-C80C-4A49-A7B4-3C591B4D071C}"/>
    <cellStyle name="Normal 14 5 5" xfId="3876" xr:uid="{D123261F-0DE7-4979-BA22-345D21548526}"/>
    <cellStyle name="Normal 14 5 6" xfId="4267" xr:uid="{7F0D5770-415F-4A5E-A0E9-4C9E4C21FDC8}"/>
    <cellStyle name="Normal 14 6" xfId="674" xr:uid="{639BB4C2-30FB-4D9F-8259-00839A6D025F}"/>
    <cellStyle name="Normal 14 6 2" xfId="2093" xr:uid="{3E72043B-B2B7-44A3-9BBC-F4F4FB551655}"/>
    <cellStyle name="Normal 14 6 2 2" xfId="2553" xr:uid="{2DEEAF19-08DC-4A5B-865F-C061884305DC}"/>
    <cellStyle name="Normal 14 6 2 2 2" xfId="3859" xr:uid="{CA2068D0-76DD-4532-BEFB-E2C5B7C77CE7}"/>
    <cellStyle name="Normal 14 6 2 2 2 2" xfId="7316" xr:uid="{F4F8D068-2BAA-4AFD-8374-6FCCAEE76CC9}"/>
    <cellStyle name="Normal 14 6 2 2 3" xfId="5577" xr:uid="{F278E155-63AC-4FAA-B700-823EE54ABF0E}"/>
    <cellStyle name="Normal 14 6 2 3" xfId="3012" xr:uid="{0E6A4E5B-4ACB-44B9-98E0-795995CBEEE2}"/>
    <cellStyle name="Normal 14 6 2 3 2" xfId="6447" xr:uid="{65556E5C-1128-4880-95A0-6DD53F23A66D}"/>
    <cellStyle name="Normal 14 6 2 4" xfId="4707" xr:uid="{D398B7BD-623F-4E3B-A1C3-0A3F5857B8BB}"/>
    <cellStyle name="Normal 14 6 3" xfId="2162" xr:uid="{FDBB941F-418A-416D-93A4-5E44CE90C1C6}"/>
    <cellStyle name="Normal 14 6 3 2" xfId="3432" xr:uid="{4A762BEB-1BBF-4E58-8ADD-78FE36A69F13}"/>
    <cellStyle name="Normal 14 6 3 2 2" xfId="6881" xr:uid="{97E46C4C-9F30-4218-A64E-E1DCBD805551}"/>
    <cellStyle name="Normal 14 6 3 3" xfId="5142" xr:uid="{104E6555-A9B4-4C39-A7CB-4326C7DB93C2}"/>
    <cellStyle name="Normal 14 6 4" xfId="2589" xr:uid="{604B3F27-0F9B-4569-A9E6-ACEA81BC9074}"/>
    <cellStyle name="Normal 14 6 4 2" xfId="6012" xr:uid="{CE8C8613-D30D-4375-AE09-BBABC47CEE98}"/>
    <cellStyle name="Normal 14 6 5" xfId="4274" xr:uid="{DC1D40D9-D960-40F9-BA40-209FC34E7626}"/>
    <cellStyle name="Normal 14 7" xfId="2085" xr:uid="{24EB53F1-6586-44A2-825F-AFF57ED66453}"/>
    <cellStyle name="Normal 14 7 2" xfId="2251" xr:uid="{CA4DF057-17EC-42BB-ABFA-7D66A6EED74D}"/>
    <cellStyle name="Normal 14 7 2 2" xfId="3532" xr:uid="{CB6AED4B-533D-48AA-ACE0-3893DF8B24D8}"/>
    <cellStyle name="Normal 14 7 2 2 2" xfId="6986" xr:uid="{F168C16F-9358-4B4E-9235-A7758E7CA0F5}"/>
    <cellStyle name="Normal 14 7 2 3" xfId="5247" xr:uid="{C069B592-985D-4A56-B2B8-FE473DBF3D12}"/>
    <cellStyle name="Normal 14 7 3" xfId="2685" xr:uid="{EE2882CF-3B46-4795-AD1B-D90A30450AA0}"/>
    <cellStyle name="Normal 14 7 3 2" xfId="6117" xr:uid="{2D9660EE-9C70-45F0-BCF2-94C5CBD37B40}"/>
    <cellStyle name="Normal 14 7 4" xfId="4377" xr:uid="{565183A1-BC40-44AB-8818-7A6891BF248A}"/>
    <cellStyle name="Normal 14 8" xfId="2029" xr:uid="{53C354E3-EF11-4926-8F72-647B99C6DC42}"/>
    <cellStyle name="Normal 14 8 2" xfId="3115" xr:uid="{F38CC47A-4F49-4FC1-B6A7-AE910229667C}"/>
    <cellStyle name="Normal 14 8 2 2" xfId="3878" xr:uid="{AD747F16-B74C-45F3-97D9-883C4679F155}"/>
    <cellStyle name="Normal 14 8 2 3" xfId="6551" xr:uid="{12BF8C1C-8000-4051-949B-DC6174629B58}"/>
    <cellStyle name="Normal 14 8 3" xfId="4812" xr:uid="{5E609F0C-0314-444B-B30F-81C317E39631}"/>
    <cellStyle name="Normal 14 9" xfId="2572" xr:uid="{650417CB-C74A-4FCB-A92D-033A9BEAF982}"/>
    <cellStyle name="Normal 14 9 2" xfId="5682" xr:uid="{22F5B7E0-061A-409D-B408-3E54391A7863}"/>
    <cellStyle name="Normal 15" xfId="108" xr:uid="{ED26939F-9B49-4D90-B919-9C7D66593070}"/>
    <cellStyle name="Normal 15 2" xfId="325" xr:uid="{940C25FA-CC4F-4D84-B0FF-48B4FF523CFB}"/>
    <cellStyle name="Normal 15 2 2" xfId="535" xr:uid="{2C3B6920-2740-4830-8592-E78A98FD5183}"/>
    <cellStyle name="Normal 15 2 2 2" xfId="1395" xr:uid="{11623EBB-931C-4B47-9156-4CC5B6A11BF3}"/>
    <cellStyle name="Normal 15 2 2 2 2" xfId="2531" xr:uid="{86566658-9F65-4F96-94BE-85415959CAEC}"/>
    <cellStyle name="Normal 15 2 2 2 2 2" xfId="3837" xr:uid="{E3204F66-02E5-42DF-9DAD-50885F1475B8}"/>
    <cellStyle name="Normal 15 2 2 2 2 2 2" xfId="7294" xr:uid="{2DB89C14-37DB-4C7A-8F51-E3F52154BA3C}"/>
    <cellStyle name="Normal 15 2 2 2 2 3" xfId="5555" xr:uid="{0038088D-C7D7-4D05-800B-9D367CA01267}"/>
    <cellStyle name="Normal 15 2 2 2 3" xfId="2990" xr:uid="{034B442C-BFDC-4579-A5F0-6550841FA769}"/>
    <cellStyle name="Normal 15 2 2 2 3 2" xfId="6425" xr:uid="{3A7D498B-113A-404A-AC7D-02536D03317A}"/>
    <cellStyle name="Normal 15 2 2 2 4" xfId="4685" xr:uid="{49634E69-F86C-44B9-9AE0-F6A5FB6A0E01}"/>
    <cellStyle name="Normal 15 2 2 3" xfId="1852" xr:uid="{92F8780D-C005-402C-8494-130422C87AC5}"/>
    <cellStyle name="Normal 15 2 2 3 2" xfId="3410" xr:uid="{5A53498E-EBF1-479A-9279-2D0E13DBB641}"/>
    <cellStyle name="Normal 15 2 2 3 2 2" xfId="6859" xr:uid="{91698A75-D982-40FC-A4D0-A20F0A45104A}"/>
    <cellStyle name="Normal 15 2 2 3 3" xfId="5120" xr:uid="{494F950C-7A52-427F-B208-026D48958484}"/>
    <cellStyle name="Normal 15 2 2 4" xfId="982" xr:uid="{7D7E88DC-BF54-44D0-9B07-94FFE92480A6}"/>
    <cellStyle name="Normal 15 2 2 4 2" xfId="5990" xr:uid="{11147D15-8424-43D9-A1F5-A8A38C4EA6F2}"/>
    <cellStyle name="Normal 15 2 2 5" xfId="4252" xr:uid="{D4676F2E-AD50-4495-876E-3F826A4F590F}"/>
    <cellStyle name="Normal 15 2 3" xfId="1188" xr:uid="{727490DE-3580-4F47-826A-33613C5FBB27}"/>
    <cellStyle name="Normal 15 2 3 2" xfId="2337" xr:uid="{282B7BDC-4414-4F45-8D6D-5D3D4E9E000C}"/>
    <cellStyle name="Normal 15 2 3 2 2" xfId="3632" xr:uid="{BF542BC8-D518-432E-9337-0B54516BC6DB}"/>
    <cellStyle name="Normal 15 2 3 2 2 2" xfId="7087" xr:uid="{61A4036B-14EE-4C69-BBB2-AC839ADC5EF6}"/>
    <cellStyle name="Normal 15 2 3 2 3" xfId="5348" xr:uid="{0C9AD4FB-9B8B-4869-845D-7A84223FED25}"/>
    <cellStyle name="Normal 15 2 3 3" xfId="2785" xr:uid="{2DCA26E3-67D7-4E6D-8835-163F76BEA4C0}"/>
    <cellStyle name="Normal 15 2 3 3 2" xfId="6218" xr:uid="{3D3FB599-FF9A-4E51-9707-0B8E67904366}"/>
    <cellStyle name="Normal 15 2 3 4" xfId="4478" xr:uid="{F5D436B8-EC14-4C7B-9D0E-628C2847D3CB}"/>
    <cellStyle name="Normal 15 2 4" xfId="1647" xr:uid="{11BE0D73-2B2A-4E11-9313-3821DF10659C}"/>
    <cellStyle name="Normal 15 2 4 2" xfId="3212" xr:uid="{918870E0-B97D-4876-BB45-40D569A296C0}"/>
    <cellStyle name="Normal 15 2 4 2 2" xfId="6652" xr:uid="{68D8699F-E74C-4191-8BFA-4F0C087FE0C0}"/>
    <cellStyle name="Normal 15 2 4 3" xfId="4913" xr:uid="{A5D46866-BB6D-49C4-8E59-6A412E830BFB}"/>
    <cellStyle name="Normal 15 2 5" xfId="775" xr:uid="{12AE5E81-CCC0-4B16-A31F-9EDFB2C75BCD}"/>
    <cellStyle name="Normal 15 2 5 2" xfId="5783" xr:uid="{85D14184-070E-4A7F-A2C6-9E6E112F1860}"/>
    <cellStyle name="Normal 15 2 6" xfId="4056" xr:uid="{FED798ED-624D-446D-A487-4F803D6B9081}"/>
    <cellStyle name="Normal 15 3" xfId="345" xr:uid="{94F2FB76-D7F8-4319-AD3D-A73DBDED2B6C}"/>
    <cellStyle name="Normal 15 3 2" xfId="1210" xr:uid="{488907ED-BF1B-4261-BE85-C534A0B1805B}"/>
    <cellStyle name="Normal 15 3 2 2" xfId="2356" xr:uid="{30D1CC2E-BCF9-4D5F-AA40-B05B44BDB24D}"/>
    <cellStyle name="Normal 15 3 2 2 2" xfId="3653" xr:uid="{66E49634-8DDD-4068-B819-4E7C78C7511A}"/>
    <cellStyle name="Normal 15 3 2 2 2 2" xfId="7109" xr:uid="{48FA57F1-BDDF-4877-8723-958B010ED2D2}"/>
    <cellStyle name="Normal 15 3 2 2 3" xfId="5370" xr:uid="{FEFDF18D-BDCC-46F9-B100-0D25065BD83F}"/>
    <cellStyle name="Normal 15 3 2 3" xfId="2806" xr:uid="{52FA5DF7-7F72-4972-B87F-5D688689E182}"/>
    <cellStyle name="Normal 15 3 2 3 2" xfId="6240" xr:uid="{4388B5A0-6033-4BAD-B6F7-C880E22BB058}"/>
    <cellStyle name="Normal 15 3 2 4" xfId="4500" xr:uid="{18DD367C-1EDA-482B-9C4E-6CE69A1884F7}"/>
    <cellStyle name="Normal 15 3 3" xfId="1664" xr:uid="{6B66FAAF-EAE6-49D3-A044-76A99628E5B4}"/>
    <cellStyle name="Normal 15 3 3 2" xfId="3234" xr:uid="{83F49DB3-E1D5-4D79-83F8-3DE61C4EB250}"/>
    <cellStyle name="Normal 15 3 3 2 2" xfId="6674" xr:uid="{55AD196A-5704-4604-869F-0BCE70729F9E}"/>
    <cellStyle name="Normal 15 3 3 3" xfId="4935" xr:uid="{EDBAC567-33BB-4380-B527-F813BDA91855}"/>
    <cellStyle name="Normal 15 3 4" xfId="797" xr:uid="{5134F902-C1B6-4FD8-AC55-A60602157A3F}"/>
    <cellStyle name="Normal 15 3 4 2" xfId="5805" xr:uid="{EB42177D-A775-487C-BB2E-A0BE0CA60065}"/>
    <cellStyle name="Normal 15 3 5" xfId="4077" xr:uid="{D97EA1E4-E95D-4B82-B35B-324B695263D3}"/>
    <cellStyle name="Normal 15 4" xfId="1088" xr:uid="{EA6BE22D-6698-451E-B443-A2203BD61956}"/>
    <cellStyle name="Normal 15 4 2" xfId="2252" xr:uid="{DB8ED204-B7B0-4061-A463-F6526795F6C1}"/>
    <cellStyle name="Normal 15 4 2 2" xfId="3533" xr:uid="{C290C1BA-239F-4A69-8BB3-147903748994}"/>
    <cellStyle name="Normal 15 4 2 2 2" xfId="6987" xr:uid="{954492AD-73D9-45D5-8B71-1BEFB799A1B8}"/>
    <cellStyle name="Normal 15 4 2 3" xfId="5248" xr:uid="{6AF73BB1-1B22-4DD1-A7A0-D22AD7C4AC67}"/>
    <cellStyle name="Normal 15 4 3" xfId="2686" xr:uid="{8005D75E-5718-4E03-A1E1-D9A6B60E22A2}"/>
    <cellStyle name="Normal 15 4 3 2" xfId="6118" xr:uid="{624D4A63-27D9-4550-9CB9-0931314E6061}"/>
    <cellStyle name="Normal 15 4 4" xfId="4378" xr:uid="{89663251-AF19-4F11-8DC1-3C8826179561}"/>
    <cellStyle name="Normal 15 5" xfId="1444" xr:uid="{9A9B16D7-8792-4FB9-B32A-664B5AFE7826}"/>
    <cellStyle name="Normal 15 5 2" xfId="3116" xr:uid="{A07DE0FB-DB8C-4AB7-9093-02353FE78FF9}"/>
    <cellStyle name="Normal 15 5 2 2" xfId="6552" xr:uid="{08794852-5C6E-484C-AB45-711FD92FF01C}"/>
    <cellStyle name="Normal 15 5 3" xfId="4813" xr:uid="{65088CB0-0FDD-4575-9C61-40E291D1340B}"/>
    <cellStyle name="Normal 15 6" xfId="675" xr:uid="{320F6E3D-FB78-4649-A2AA-7A5E1CEEBEA7}"/>
    <cellStyle name="Normal 15 6 2" xfId="5683" xr:uid="{0DC2D987-45FD-4B8F-B133-873B0D0DC62B}"/>
    <cellStyle name="Normal 15 7" xfId="3961" xr:uid="{4928314F-FB56-46AE-8062-D95DDA969048}"/>
    <cellStyle name="Normal 16" xfId="232" xr:uid="{58B09668-D155-4A87-B497-984D9FEE8665}"/>
    <cellStyle name="Normal 16 2" xfId="331" xr:uid="{A339F3A8-9F96-4E9A-BEB3-051B6D1CA5CE}"/>
    <cellStyle name="Normal 16 2 2" xfId="541" xr:uid="{D7159654-EA50-4735-9CC2-D749B841F7CC}"/>
    <cellStyle name="Normal 16 2 2 2" xfId="1401" xr:uid="{1B2993A3-FCC4-4066-8B3B-12349FBB8309}"/>
    <cellStyle name="Normal 16 2 2 2 2" xfId="2537" xr:uid="{3C0B8FC1-E549-466F-9957-D867A6F26327}"/>
    <cellStyle name="Normal 16 2 2 2 2 2" xfId="3843" xr:uid="{C1659389-F29C-4D4A-9F91-95845CBA6A08}"/>
    <cellStyle name="Normal 16 2 2 2 2 2 2" xfId="7300" xr:uid="{1301A99A-AB1A-4811-8202-55287A883F92}"/>
    <cellStyle name="Normal 16 2 2 2 2 3" xfId="5561" xr:uid="{22E62B9E-FE4D-4946-9AB3-2337E3B4C969}"/>
    <cellStyle name="Normal 16 2 2 2 3" xfId="2996" xr:uid="{12E3285F-5E0F-4B38-8993-64058082BAF4}"/>
    <cellStyle name="Normal 16 2 2 2 3 2" xfId="6431" xr:uid="{7CFD7D8A-1E91-4CCE-9C44-8BA392673F5F}"/>
    <cellStyle name="Normal 16 2 2 2 4" xfId="4691" xr:uid="{E84BA660-3E75-4C1E-B0D2-691B9C548AF0}"/>
    <cellStyle name="Normal 16 2 2 3" xfId="1858" xr:uid="{D8AAA7D3-80A4-4556-B938-CCF8E41F35A7}"/>
    <cellStyle name="Normal 16 2 2 3 2" xfId="3416" xr:uid="{CDAAB6EF-37DB-4F51-9EF0-4A470FD192B0}"/>
    <cellStyle name="Normal 16 2 2 3 2 2" xfId="6865" xr:uid="{7BD4CFD0-189F-433C-B1A8-B31ED7DE9D57}"/>
    <cellStyle name="Normal 16 2 2 3 3" xfId="5126" xr:uid="{A8764B34-309E-45A3-8329-7115D2F86660}"/>
    <cellStyle name="Normal 16 2 2 4" xfId="988" xr:uid="{D578E432-39A5-4B1B-A60F-FCFA197AD3D3}"/>
    <cellStyle name="Normal 16 2 2 4 2" xfId="5996" xr:uid="{A392C285-311E-4139-9C63-B46DF5153863}"/>
    <cellStyle name="Normal 16 2 2 5" xfId="4258" xr:uid="{697C871E-A616-4041-9FCB-EA2AA86B342F}"/>
    <cellStyle name="Normal 16 2 3" xfId="1194" xr:uid="{2480DF29-5EDC-48B4-AF61-ED082FF60C2E}"/>
    <cellStyle name="Normal 16 2 3 2" xfId="2341" xr:uid="{16AD482A-9816-446A-90BC-87C705D83886}"/>
    <cellStyle name="Normal 16 2 3 2 2" xfId="3638" xr:uid="{4E60E1DB-16F7-4FAC-995A-826339498F7A}"/>
    <cellStyle name="Normal 16 2 3 2 2 2" xfId="7093" xr:uid="{8A4EF4BD-5473-4332-AD8B-4798C12685DB}"/>
    <cellStyle name="Normal 16 2 3 2 3" xfId="5354" xr:uid="{B3A86B5F-9920-4575-8FC8-4D9CE10712A4}"/>
    <cellStyle name="Normal 16 2 3 3" xfId="2791" xr:uid="{C20486DC-4820-4CE4-8931-9814F20618F6}"/>
    <cellStyle name="Normal 16 2 3 3 2" xfId="6224" xr:uid="{E276A8E0-8B23-47BA-A96F-D97247A80162}"/>
    <cellStyle name="Normal 16 2 3 4" xfId="4484" xr:uid="{40611916-97CD-433C-857D-2B6D66C87FFB}"/>
    <cellStyle name="Normal 16 2 4" xfId="1651" xr:uid="{F2FC1656-BB08-40E7-86DD-1B64F71D14CD}"/>
    <cellStyle name="Normal 16 2 4 2" xfId="3218" xr:uid="{D3EA5B71-4C8F-43D3-A298-FA47ECCA339E}"/>
    <cellStyle name="Normal 16 2 4 2 2" xfId="6658" xr:uid="{E6BB8724-7E28-4224-BB7E-047D5DB47A97}"/>
    <cellStyle name="Normal 16 2 4 3" xfId="4919" xr:uid="{1F1B7DCF-D5C1-4542-96B2-601CB27C319A}"/>
    <cellStyle name="Normal 16 2 5" xfId="781" xr:uid="{8E0FA046-C936-486C-B430-E389C8688FBA}"/>
    <cellStyle name="Normal 16 2 5 2" xfId="5789" xr:uid="{094BAD7A-41F2-44F5-915D-0DA89BE535F9}"/>
    <cellStyle name="Normal 16 2 6" xfId="4062" xr:uid="{66C64D29-6D64-469D-9998-D7AB7683BB06}"/>
    <cellStyle name="Normal 16 3" xfId="441" xr:uid="{4AB70F73-2C43-4E6C-9B97-1CBA0DD57974}"/>
    <cellStyle name="Normal 16 3 2" xfId="1301" xr:uid="{20257869-8503-4095-B63B-934015D25633}"/>
    <cellStyle name="Normal 16 3 2 2" xfId="2442" xr:uid="{FCAF5BAC-4A3E-47F2-B002-678B70037195}"/>
    <cellStyle name="Normal 16 3 2 2 2" xfId="3743" xr:uid="{53424C10-FCB0-4F36-B62A-2E13ED1508E3}"/>
    <cellStyle name="Normal 16 3 2 2 2 2" xfId="7200" xr:uid="{A38C7D3A-A774-4CDC-A329-9D72B3A07AED}"/>
    <cellStyle name="Normal 16 3 2 2 3" xfId="5461" xr:uid="{A9F84A39-57C0-47CE-AB2A-8D672AF062C8}"/>
    <cellStyle name="Normal 16 3 2 3" xfId="2896" xr:uid="{2B62AA0A-AB6C-4993-83DA-73D04375FECF}"/>
    <cellStyle name="Normal 16 3 2 3 2" xfId="6331" xr:uid="{F85A9F21-3DCA-4A86-A2FE-3BEFB76C884E}"/>
    <cellStyle name="Normal 16 3 2 4" xfId="4591" xr:uid="{E9B08B13-1400-4DAF-ABBC-A02C02E041F0}"/>
    <cellStyle name="Normal 16 3 3" xfId="1758" xr:uid="{24DAB246-2933-41F0-ABA0-4C8DBAC867A8}"/>
    <cellStyle name="Normal 16 3 3 2" xfId="3321" xr:uid="{05966037-D76C-4EB1-8F0E-26B9C8930808}"/>
    <cellStyle name="Normal 16 3 3 2 2" xfId="6765" xr:uid="{4E92262A-E82E-4256-A59E-13510BFA55E8}"/>
    <cellStyle name="Normal 16 3 3 3" xfId="5026" xr:uid="{2498FEA0-D6E6-4614-85CB-DE9DEF9FDD60}"/>
    <cellStyle name="Normal 16 3 4" xfId="888" xr:uid="{6688D82A-54D5-4EAF-9932-07141755DE45}"/>
    <cellStyle name="Normal 16 3 4 2" xfId="5896" xr:uid="{F560AD53-344A-422A-933C-E48CC0F38F43}"/>
    <cellStyle name="Normal 16 3 5" xfId="4163" xr:uid="{1AE05544-EFA4-430F-99EC-E34D88A5C07F}"/>
    <cellStyle name="Normal 16 4" xfId="1094" xr:uid="{C9838621-E634-47E4-8751-C7475563BBF4}"/>
    <cellStyle name="Normal 16 4 2" xfId="2256" xr:uid="{F67E6E10-5DC1-43EC-AD74-0FFE4956C44C}"/>
    <cellStyle name="Normal 16 4 2 2" xfId="3539" xr:uid="{B5F54669-D5A2-4F8A-8EF1-F29851FA3034}"/>
    <cellStyle name="Normal 16 4 2 2 2" xfId="6993" xr:uid="{94A65F83-E622-4683-9F16-455FCBDFC5E7}"/>
    <cellStyle name="Normal 16 4 2 3" xfId="5254" xr:uid="{88947F93-150D-4CB3-A906-9A815DF28F9D}"/>
    <cellStyle name="Normal 16 4 3" xfId="2692" xr:uid="{2954BA89-0D89-4DE1-B827-9E1F2BCD3A62}"/>
    <cellStyle name="Normal 16 4 3 2" xfId="6124" xr:uid="{A71CB2A2-B4CF-438A-BF25-B1A20C2EA8EF}"/>
    <cellStyle name="Normal 16 4 4" xfId="4384" xr:uid="{B77CC6AA-FC9F-420B-8E99-C9FA322D369C}"/>
    <cellStyle name="Normal 16 5" xfId="1553" xr:uid="{158755FF-614C-4129-AF6B-EBFF0A46CB5A}"/>
    <cellStyle name="Normal 16 5 2" xfId="3122" xr:uid="{97FBB65E-9627-4175-9CE3-6F2F100D81CB}"/>
    <cellStyle name="Normal 16 5 2 2" xfId="6558" xr:uid="{2E9884E9-E904-4C9E-AA7F-2CE4BB6DEC76}"/>
    <cellStyle name="Normal 16 5 3" xfId="4819" xr:uid="{9999D604-ABF9-474D-9A13-BA352B376D59}"/>
    <cellStyle name="Normal 16 6" xfId="681" xr:uid="{B43C5824-D08A-49F9-AD23-74BCE4B91600}"/>
    <cellStyle name="Normal 16 6 2" xfId="5689" xr:uid="{DA8BC427-CA40-4172-9A25-5DA4D0B887A4}"/>
    <cellStyle name="Normal 16 7" xfId="3967" xr:uid="{C7BDD247-C231-46F9-BB2C-1C9DFEF57476}"/>
    <cellStyle name="Normal 17" xfId="121" xr:uid="{2D0F9080-BD25-4629-AC28-A9E642AEB589}"/>
    <cellStyle name="Normal 17 2" xfId="1197" xr:uid="{EC39794A-8464-4C83-B06B-38EF77029A7E}"/>
    <cellStyle name="Normal 17 2 2" xfId="1558" xr:uid="{0D208138-D5AA-4293-BD4A-0600CF469115}"/>
    <cellStyle name="Normal 17 2 2 2" xfId="2554" xr:uid="{97388D1B-5CD9-4562-A592-8D413192B4C7}"/>
    <cellStyle name="Normal 17 2 2 2 2" xfId="3860" xr:uid="{8A2C5CB0-6B92-4535-988D-BDB0C5E25D64}"/>
    <cellStyle name="Normal 17 2 2 2 2 2" xfId="7317" xr:uid="{7A4F63E2-0C1C-490C-858A-3526013882EF}"/>
    <cellStyle name="Normal 17 2 2 2 3" xfId="5578" xr:uid="{EAF0EB07-208A-40E4-A419-2987AD45AB67}"/>
    <cellStyle name="Normal 17 2 2 3" xfId="3013" xr:uid="{811D869B-0A7B-4E6F-BB82-F74B27CB5C48}"/>
    <cellStyle name="Normal 17 2 2 3 2" xfId="6448" xr:uid="{0B083A92-E5FB-4C61-8CF1-F53D7B61396F}"/>
    <cellStyle name="Normal 17 2 2 4" xfId="4708" xr:uid="{46FB4FD1-209F-4C67-9E73-5D67DA30103C}"/>
    <cellStyle name="Normal 17 2 2 5" xfId="2094" xr:uid="{8F215755-E17C-4967-8282-B82D1C055930}"/>
    <cellStyle name="Normal 17 2 3" xfId="1975" xr:uid="{40C25EED-F40D-4D44-8216-0175CCBA86B5}"/>
    <cellStyle name="Normal 17 2 3 2" xfId="3433" xr:uid="{A96816F5-C327-4C61-9387-FFF7CA84FBAB}"/>
    <cellStyle name="Normal 17 2 3 2 2" xfId="6882" xr:uid="{A1EFC602-A63A-400F-9EA6-2F9AD9E8C84D}"/>
    <cellStyle name="Normal 17 2 3 3" xfId="5143" xr:uid="{948BAB2A-72B6-4C85-AA9F-61616D59419B}"/>
    <cellStyle name="Normal 17 2 4" xfId="2590" xr:uid="{66CECDD8-E3DF-4044-9407-5FCE2B19D914}"/>
    <cellStyle name="Normal 17 2 4 2" xfId="6013" xr:uid="{9120C1DB-59AD-40C5-A357-87C23B30A862}"/>
    <cellStyle name="Normal 17 2 5" xfId="4275" xr:uid="{55D4E495-9869-42A1-AE9D-697446ECD308}"/>
    <cellStyle name="Normal 17 3" xfId="122" xr:uid="{2B5C320A-A6FF-49BB-A891-12B053D6A5C3}"/>
    <cellStyle name="Normal 17 3 2" xfId="2095" xr:uid="{588BE00C-4E59-4F53-A176-8333A9B9A305}"/>
    <cellStyle name="Normal 17 3 2 2" xfId="2555" xr:uid="{211C8D3D-2504-403F-82FE-D1EBB9C7E323}"/>
    <cellStyle name="Normal 17 3 2 2 2" xfId="3861" xr:uid="{7E2FD4C6-216B-4959-9023-8F2C3FAC1AFE}"/>
    <cellStyle name="Normal 17 3 2 2 2 2" xfId="7318" xr:uid="{6A38DD94-1BCF-4D91-866D-18F9F77876FC}"/>
    <cellStyle name="Normal 17 3 2 2 3" xfId="5579" xr:uid="{9F7C6F37-4072-465B-BBF0-7CAFAD42BD1F}"/>
    <cellStyle name="Normal 17 3 2 3" xfId="3014" xr:uid="{D0CDB3B5-23C2-4AAB-BD5C-A5282B2300B6}"/>
    <cellStyle name="Normal 17 3 2 3 2" xfId="6449" xr:uid="{3CFDBCA9-5C15-43FC-9063-AC101520A40A}"/>
    <cellStyle name="Normal 17 3 2 4" xfId="4709" xr:uid="{51AAB28D-A5BA-45A2-8075-CA1F3122A4F4}"/>
    <cellStyle name="Normal 17 3 3" xfId="2163" xr:uid="{8062862F-7470-4BAD-9A0A-344A03739CD8}"/>
    <cellStyle name="Normal 17 3 3 2" xfId="3434" xr:uid="{1DB86042-9704-446C-93D0-AC672604E502}"/>
    <cellStyle name="Normal 17 3 3 2 2" xfId="6883" xr:uid="{FAA527F9-8ADF-40D8-901F-91CFA929DBD0}"/>
    <cellStyle name="Normal 17 3 3 3" xfId="5144" xr:uid="{997B8DE9-E6CF-462E-8345-75A93BB589AF}"/>
    <cellStyle name="Normal 17 3 4" xfId="2591" xr:uid="{FC0B3272-8AD0-4CA0-9ABB-67540B038FAA}"/>
    <cellStyle name="Normal 17 3 4 2" xfId="6014" xr:uid="{4FE0A0A3-8888-45FC-B2BE-4F60BE4404B2}"/>
    <cellStyle name="Normal 17 3 5" xfId="4276" xr:uid="{B31650D9-253E-4861-9E0E-D33C5468CE94}"/>
    <cellStyle name="Normal 17 4" xfId="1459" xr:uid="{4BE64C79-3412-4C77-8FB1-45B7BA845A30}"/>
    <cellStyle name="Normal 17 4 2" xfId="2344" xr:uid="{3EF0C9E3-EE94-4856-86BB-5F08123F5500}"/>
    <cellStyle name="Normal 17 4 2 2" xfId="3641" xr:uid="{429FC873-9306-4925-B54A-C1F4EE82E7D5}"/>
    <cellStyle name="Normal 17 4 2 2 2" xfId="7096" xr:uid="{A40F2BEC-5865-4D8C-81C7-E6BE89173FA1}"/>
    <cellStyle name="Normal 17 4 2 3" xfId="5357" xr:uid="{2B1D4B7B-A56C-41FF-9E29-312D23B5450C}"/>
    <cellStyle name="Normal 17 4 3" xfId="2794" xr:uid="{62669486-990E-4B77-B31E-80E5286099E3}"/>
    <cellStyle name="Normal 17 4 3 2" xfId="6227" xr:uid="{02CB8B3D-2A28-496E-941D-EA5A3E56A34A}"/>
    <cellStyle name="Normal 17 4 4" xfId="4487" xr:uid="{BB78775B-AC19-4BD3-BB91-9961D6E66A0C}"/>
    <cellStyle name="Normal 17 4 5" xfId="2086" xr:uid="{F9A2B4B4-DEA8-4ADC-A20C-3BBD261C61C2}"/>
    <cellStyle name="Normal 17 5" xfId="784" xr:uid="{572C2919-6D6F-4199-9714-9709FD3485DB}"/>
    <cellStyle name="Normal 17 5 2" xfId="3221" xr:uid="{BEA6B333-9D27-44E4-AC1F-35CBEC784658}"/>
    <cellStyle name="Normal 17 5 2 2" xfId="6661" xr:uid="{60F76944-35AA-4E18-99E7-533A3C7DE897}"/>
    <cellStyle name="Normal 17 5 3" xfId="4922" xr:uid="{E791C2D5-B883-4428-9DF0-724372DECFDC}"/>
    <cellStyle name="Normal 17 6" xfId="2574" xr:uid="{7333C4DA-4F86-454B-8CA1-974CF9F2364E}"/>
    <cellStyle name="Normal 17 6 2" xfId="5792" xr:uid="{D07C5500-6F7A-4A8B-AB40-11C09053C8E1}"/>
    <cellStyle name="Normal 17 7" xfId="4065" xr:uid="{1676B110-8E38-4E71-B264-6E9CA4984589}"/>
    <cellStyle name="Normal 18" xfId="1463" xr:uid="{CF37795E-261F-46B2-8990-23A286430A82}"/>
    <cellStyle name="Normal 18 2" xfId="2097" xr:uid="{DC53330B-C555-4530-8D88-68A5907E2B3C}"/>
    <cellStyle name="Normal 18 2 2" xfId="2558" xr:uid="{53D1A7FB-4F11-4074-AA77-E6BE49BA3F03}"/>
    <cellStyle name="Normal 18 2 2 2" xfId="3864" xr:uid="{AFFB8D29-61FE-4FC7-8386-AB11D4D0D534}"/>
    <cellStyle name="Normal 18 2 2 2 2" xfId="7321" xr:uid="{58C31E17-A639-42A4-A2A6-16F04698E9D9}"/>
    <cellStyle name="Normal 18 2 2 3" xfId="5582" xr:uid="{92DB39CD-269B-4C85-AC28-D3236AF8A0CC}"/>
    <cellStyle name="Normal 18 2 3" xfId="3017" xr:uid="{B8571CF1-1D7C-4D90-8625-0ECEDAB6ECB6}"/>
    <cellStyle name="Normal 18 2 3 2" xfId="6452" xr:uid="{32BD06E3-AA8B-4AFF-A558-C478FE9E7004}"/>
    <cellStyle name="Normal 18 2 4" xfId="4712" xr:uid="{E3A202F2-EA2C-4A6B-B9C2-70C03D725527}"/>
    <cellStyle name="Normal 18 3" xfId="2166" xr:uid="{2CF71C2A-B21C-4A94-9568-10EF2AE39574}"/>
    <cellStyle name="Normal 18 3 2" xfId="3437" xr:uid="{C85BFA38-EDEB-4DF3-96DF-1F43A682102E}"/>
    <cellStyle name="Normal 18 3 2 2" xfId="6886" xr:uid="{A67B0F3F-D8BC-4EF5-908F-5D4604D23798}"/>
    <cellStyle name="Normal 18 3 3" xfId="5147" xr:uid="{B41EA05E-5EE4-4166-BFAF-F99728448A6C}"/>
    <cellStyle name="Normal 18 4" xfId="2594" xr:uid="{26A72E8D-766B-4661-A943-49CA3CD6EDDF}"/>
    <cellStyle name="Normal 18 4 2" xfId="6017" xr:uid="{49EEC6FE-734A-4ECA-95C6-6EA552C5FF1F}"/>
    <cellStyle name="Normal 18 5" xfId="4279" xr:uid="{48612B7C-0DDB-470D-8465-253556E87C06}"/>
    <cellStyle name="Normal 18 6" xfId="2044" xr:uid="{1551C64D-4308-4B84-BDB5-5CC8228899F5}"/>
    <cellStyle name="Normal 19" xfId="1560" xr:uid="{93070A06-B4C9-43AA-8D05-9AD8EB255319}"/>
    <cellStyle name="Normal 19 2" xfId="1899" xr:uid="{3077C6DA-7DFF-45C6-9CBB-39C175BBC4A8}"/>
    <cellStyle name="Normal 19 2 2" xfId="2561" xr:uid="{A2EC88CF-50C6-462F-A5DA-FC6D7849A664}"/>
    <cellStyle name="Normal 19 2 2 2" xfId="3868" xr:uid="{18BFE419-C95A-4D67-B5A5-70EC2D1DC7C3}"/>
    <cellStyle name="Normal 19 2 2 2 2" xfId="7325" xr:uid="{24572ED0-36B0-4138-A6B6-406DD47FD620}"/>
    <cellStyle name="Normal 19 2 2 3" xfId="5586" xr:uid="{62398D91-3EDE-467B-BFF4-D758D25AFD0B}"/>
    <cellStyle name="Normal 19 2 3" xfId="3021" xr:uid="{02E9160C-E603-4AB7-829D-FC5EC86C5AD5}"/>
    <cellStyle name="Normal 19 2 3 2" xfId="6456" xr:uid="{AA1A6FA3-8676-4495-9C04-7B87A78D9FE9}"/>
    <cellStyle name="Normal 19 2 4" xfId="4716" xr:uid="{1C654589-CB5F-4823-949F-1318444267F2}"/>
    <cellStyle name="Normal 19 2 5" xfId="2100" xr:uid="{90418173-2E12-42A1-BD31-FE06CAC3DEA3}"/>
    <cellStyle name="Normal 19 3" xfId="2011" xr:uid="{4A06E51F-5C79-45AA-AEE1-E122DB86BF7A}"/>
    <cellStyle name="Normal 19 3 2" xfId="3441" xr:uid="{1F25BECF-7741-43F2-9E71-0F619AE6FE90}"/>
    <cellStyle name="Normal 19 3 2 2" xfId="6890" xr:uid="{21E51560-C390-41BA-9FFC-33A81535E70C}"/>
    <cellStyle name="Normal 19 3 3" xfId="5151" xr:uid="{1033CB0C-C7A7-4ACC-9A01-F56C9D41B6DF}"/>
    <cellStyle name="Normal 19 3 4" xfId="2169" xr:uid="{D82E03C3-873C-4C96-92F5-510C97E5358D}"/>
    <cellStyle name="Normal 19 4" xfId="2598" xr:uid="{7D6F200F-B111-4F0F-96BB-4FF70BE3F8CD}"/>
    <cellStyle name="Normal 19 4 2" xfId="6021" xr:uid="{5F6EF8FC-FE99-4D6B-A386-B4FE28392961}"/>
    <cellStyle name="Normal 19 5" xfId="4283" xr:uid="{66DE1D74-32CE-40F2-91EF-6AF6CF8DE8DB}"/>
    <cellStyle name="Normal 19 6" xfId="2045" xr:uid="{2255360D-0D7D-45B6-B937-4F71AEB2466D}"/>
    <cellStyle name="Normal 2" xfId="39" xr:uid="{535C6748-EF40-4859-B160-B015D64DDC55}"/>
    <cellStyle name="Normal 2 11" xfId="213" xr:uid="{3C674F2F-AE91-4485-B1BC-F147C9428234}"/>
    <cellStyle name="Normal 2 11 2" xfId="225" xr:uid="{EEE317F9-6AA5-4DAD-B822-8A041EA438D7}"/>
    <cellStyle name="Normal 2 11 2 2" xfId="322" xr:uid="{B6E64720-2AF2-4FF3-8D08-3ADC8EBCA291}"/>
    <cellStyle name="Normal 2 11 2 2 2" xfId="532" xr:uid="{7786B7F6-1FD5-4569-8116-5607B744F4FC}"/>
    <cellStyle name="Normal 2 11 2 2 2 2" xfId="1392" xr:uid="{D94189E4-37D4-4E41-9898-7E4B9B67A955}"/>
    <cellStyle name="Normal 2 11 2 2 2 2 2" xfId="2528" xr:uid="{CA7A7C5E-E2B1-40B9-BC00-EEEA37D0ECCF}"/>
    <cellStyle name="Normal 2 11 2 2 2 2 2 2" xfId="3834" xr:uid="{495F0E0F-3D37-430F-B355-A528FB0A389B}"/>
    <cellStyle name="Normal 2 11 2 2 2 2 2 2 2" xfId="7291" xr:uid="{B9FC46A8-DEA7-4B95-8DCF-C0A8F7E679AE}"/>
    <cellStyle name="Normal 2 11 2 2 2 2 2 3" xfId="5552" xr:uid="{CE91E570-D29D-462F-AD87-B92B1C90182E}"/>
    <cellStyle name="Normal 2 11 2 2 2 2 3" xfId="2987" xr:uid="{141F1E90-C6D1-43B1-8626-5756C896FCEF}"/>
    <cellStyle name="Normal 2 11 2 2 2 2 3 2" xfId="6422" xr:uid="{B82E0D9F-31C6-40B6-9BDF-79AB6E7D9591}"/>
    <cellStyle name="Normal 2 11 2 2 2 2 4" xfId="4682" xr:uid="{C1583539-2ACB-4DC5-8350-4E255B03A288}"/>
    <cellStyle name="Normal 2 11 2 2 2 3" xfId="1849" xr:uid="{D66A9FEB-9099-4873-B6C1-E134965F1824}"/>
    <cellStyle name="Normal 2 11 2 2 2 3 2" xfId="3407" xr:uid="{CDA28EE7-5C5D-4BBF-A47B-DD3BB2018BD4}"/>
    <cellStyle name="Normal 2 11 2 2 2 3 2 2" xfId="6856" xr:uid="{06B26A0A-CDDB-420D-AF20-79A4D11D9A9F}"/>
    <cellStyle name="Normal 2 11 2 2 2 3 3" xfId="5117" xr:uid="{F736FF52-ACC4-4595-9BFE-4CFDBFD60FE1}"/>
    <cellStyle name="Normal 2 11 2 2 2 4" xfId="979" xr:uid="{7704518B-4A38-49B9-B6DA-B4A62E19BF1D}"/>
    <cellStyle name="Normal 2 11 2 2 2 4 2" xfId="5987" xr:uid="{73A45F69-3079-4745-A75A-8657068F0694}"/>
    <cellStyle name="Normal 2 11 2 2 2 5" xfId="4249" xr:uid="{2B73BF63-5B23-41DC-B069-F4295F0B08D7}"/>
    <cellStyle name="Normal 2 11 2 2 3" xfId="1185" xr:uid="{2E463879-52A1-427B-BD38-989D7A345EF3}"/>
    <cellStyle name="Normal 2 11 2 2 3 2" xfId="2334" xr:uid="{BACC2689-2540-4334-B973-B1AC9DF3A458}"/>
    <cellStyle name="Normal 2 11 2 2 3 2 2" xfId="3629" xr:uid="{22353794-09EA-4517-8821-860FB4CFB856}"/>
    <cellStyle name="Normal 2 11 2 2 3 2 2 2" xfId="7084" xr:uid="{562B675C-5C12-4A08-8023-099432F05E0A}"/>
    <cellStyle name="Normal 2 11 2 2 3 2 3" xfId="5345" xr:uid="{F7A26E77-CF4D-4C25-A696-13622C443E2E}"/>
    <cellStyle name="Normal 2 11 2 2 3 3" xfId="2782" xr:uid="{2C3D9D2B-295F-4027-9355-0616038AB4A5}"/>
    <cellStyle name="Normal 2 11 2 2 3 3 2" xfId="6215" xr:uid="{4416C304-844D-4069-9186-B10873AC4C17}"/>
    <cellStyle name="Normal 2 11 2 2 3 4" xfId="4475" xr:uid="{6D851E23-C7AB-45D1-BDE5-C1981B8279AC}"/>
    <cellStyle name="Normal 2 11 2 2 4" xfId="1646" xr:uid="{C62E3FB5-5780-4674-804A-12E80CBCE59A}"/>
    <cellStyle name="Normal 2 11 2 2 4 2" xfId="3209" xr:uid="{19DC88CF-C17D-44B0-BE87-64C1958BE58B}"/>
    <cellStyle name="Normal 2 11 2 2 4 2 2" xfId="6649" xr:uid="{D7A94447-C064-43B3-B0BB-BB73E781B99F}"/>
    <cellStyle name="Normal 2 11 2 2 4 3" xfId="4910" xr:uid="{03E7DA38-3629-4322-B9CC-0CF74ED67015}"/>
    <cellStyle name="Normal 2 11 2 2 5" xfId="772" xr:uid="{8BCD05B9-78E3-483A-BC99-635A51B09BC3}"/>
    <cellStyle name="Normal 2 11 2 2 5 2" xfId="5780" xr:uid="{3C84D6C7-974B-4236-B090-E301E38BDED0}"/>
    <cellStyle name="Normal 2 11 2 2 6" xfId="4053" xr:uid="{34D9F51C-6C8D-44FD-91BE-57C6D564CD2C}"/>
    <cellStyle name="Normal 2 11 2 3" xfId="434" xr:uid="{2B0C6593-B36C-41BC-BBE8-8A879AF28E68}"/>
    <cellStyle name="Normal 2 11 2 3 2" xfId="1294" xr:uid="{5CA81200-B9BB-4574-A0D6-08C6FBCCFA16}"/>
    <cellStyle name="Normal 2 11 2 3 2 2" xfId="2435" xr:uid="{78C64107-89C7-479E-A650-8887A51FB22A}"/>
    <cellStyle name="Normal 2 11 2 3 2 2 2" xfId="3736" xr:uid="{238F1969-5350-4B41-9294-D186FF07EE90}"/>
    <cellStyle name="Normal 2 11 2 3 2 2 2 2" xfId="7193" xr:uid="{4F8351D0-4F3B-48E3-A2AE-C990F1A9DED3}"/>
    <cellStyle name="Normal 2 11 2 3 2 2 3" xfId="5454" xr:uid="{85C8010D-0124-4235-ACA1-E41F0BED7654}"/>
    <cellStyle name="Normal 2 11 2 3 2 3" xfId="2889" xr:uid="{3B23FD50-DFCF-45A4-BAE9-4647E27F04AC}"/>
    <cellStyle name="Normal 2 11 2 3 2 3 2" xfId="6324" xr:uid="{4427AB1D-3F17-49EE-B003-CF70115F9A98}"/>
    <cellStyle name="Normal 2 11 2 3 2 4" xfId="4584" xr:uid="{D016F0FF-B3D6-4292-9742-EEDA163E21D6}"/>
    <cellStyle name="Normal 2 11 2 3 3" xfId="1751" xr:uid="{DC5EE5BD-536C-4C62-BD44-20508B86E16A}"/>
    <cellStyle name="Normal 2 11 2 3 3 2" xfId="3314" xr:uid="{68F4D7FA-7B46-4553-AAF8-6EE903926F32}"/>
    <cellStyle name="Normal 2 11 2 3 3 2 2" xfId="6758" xr:uid="{01B503D5-2C92-4E28-928A-AEAC5CC59F27}"/>
    <cellStyle name="Normal 2 11 2 3 3 3" xfId="5019" xr:uid="{253C1300-2185-4326-86EB-E2060F046352}"/>
    <cellStyle name="Normal 2 11 2 3 4" xfId="881" xr:uid="{615911F2-D900-4025-86F6-EBBC0442CAF2}"/>
    <cellStyle name="Normal 2 11 2 3 4 2" xfId="5889" xr:uid="{20F41E01-5FFB-4C4E-8B40-D1C8B25342D9}"/>
    <cellStyle name="Normal 2 11 2 3 5" xfId="4156" xr:uid="{E21C8ECB-366C-46DD-AE0D-C0C08AB147C9}"/>
    <cellStyle name="Normal 2 11 2 4" xfId="1085" xr:uid="{CC4F5618-10F6-4279-8DA8-23346E1F13E0}"/>
    <cellStyle name="Normal 2 11 2 4 2" xfId="2249" xr:uid="{90102DB0-14ED-4780-9E86-113E9EBA080F}"/>
    <cellStyle name="Normal 2 11 2 4 2 2" xfId="3530" xr:uid="{BC726050-1D6D-405B-B5AF-9B8D96EFBCC9}"/>
    <cellStyle name="Normal 2 11 2 4 2 2 2" xfId="6984" xr:uid="{6BC79A3F-CFEB-468F-9560-62B8FEC6002B}"/>
    <cellStyle name="Normal 2 11 2 4 2 3" xfId="5245" xr:uid="{BF56E574-66DA-4369-BAF1-F5B85D7C4864}"/>
    <cellStyle name="Normal 2 11 2 4 3" xfId="2683" xr:uid="{61144911-2B67-4EAF-9C7C-9A96F88A8907}"/>
    <cellStyle name="Normal 2 11 2 4 3 2" xfId="6115" xr:uid="{4C3A3204-F59E-4008-A3C2-04E9FAFAF79C}"/>
    <cellStyle name="Normal 2 11 2 4 4" xfId="4375" xr:uid="{23225D92-B480-4F66-BB33-5B909C187836}"/>
    <cellStyle name="Normal 2 11 2 5" xfId="1544" xr:uid="{1F877E01-F62E-445A-8B75-8250467C4740}"/>
    <cellStyle name="Normal 2 11 2 5 2" xfId="3113" xr:uid="{A41B7D57-3BD8-4F53-AF1D-FF71A261398C}"/>
    <cellStyle name="Normal 2 11 2 5 2 2" xfId="6549" xr:uid="{20B213F4-06A6-4342-BB74-D1BC6457A929}"/>
    <cellStyle name="Normal 2 11 2 5 3" xfId="4810" xr:uid="{7A9CEE60-20C9-4D47-B0DA-C7A522A38450}"/>
    <cellStyle name="Normal 2 11 2 6" xfId="672" xr:uid="{88E5AA45-855E-4D1D-954C-5B654C989564}"/>
    <cellStyle name="Normal 2 11 2 6 2" xfId="5680" xr:uid="{A81EE2BD-7BB7-4577-AA9C-CE7FC4866DE5}"/>
    <cellStyle name="Normal 2 11 2 7" xfId="3958" xr:uid="{61CB9FAF-26E5-495F-B130-5C617CDF5639}"/>
    <cellStyle name="Normal 2 11 3" xfId="307" xr:uid="{E38A1BDF-08D2-49EA-8AE0-C6238A167801}"/>
    <cellStyle name="Normal 2 11 3 2" xfId="516" xr:uid="{6EA9A77E-B5E5-458C-98EC-53C0195CDB9B}"/>
    <cellStyle name="Normal 2 11 3 2 2" xfId="1376" xr:uid="{CB3030DB-1D4A-4EFE-87B2-A1A9AC3D6F9D}"/>
    <cellStyle name="Normal 2 11 3 2 2 2" xfId="2512" xr:uid="{324B64F1-A231-4764-94BD-80492CD445DD}"/>
    <cellStyle name="Normal 2 11 3 2 2 2 2" xfId="3818" xr:uid="{47C03FE0-E189-41AF-BE33-C076B3DA072B}"/>
    <cellStyle name="Normal 2 11 3 2 2 2 2 2" xfId="7275" xr:uid="{98ACC738-0825-4B77-82AC-95D165CD097F}"/>
    <cellStyle name="Normal 2 11 3 2 2 2 3" xfId="5536" xr:uid="{34192CB4-7DCC-418F-AA6D-240A34426900}"/>
    <cellStyle name="Normal 2 11 3 2 2 3" xfId="2971" xr:uid="{7B196265-7B63-4DF6-B8DF-CA7818F1D35F}"/>
    <cellStyle name="Normal 2 11 3 2 2 3 2" xfId="6406" xr:uid="{FAB094A9-4BA9-453A-9162-3841334D2FD9}"/>
    <cellStyle name="Normal 2 11 3 2 2 4" xfId="4666" xr:uid="{8AEAA700-5960-479D-A91F-38D5E278C610}"/>
    <cellStyle name="Normal 2 11 3 2 3" xfId="1833" xr:uid="{27B52F00-DC03-4821-86D8-187A0BD9F101}"/>
    <cellStyle name="Normal 2 11 3 2 3 2" xfId="3391" xr:uid="{4D914A92-448D-4519-9D8F-DB92275CAFD8}"/>
    <cellStyle name="Normal 2 11 3 2 3 2 2" xfId="6840" xr:uid="{CFE84E7A-27AE-4DF1-8793-CB93859E390E}"/>
    <cellStyle name="Normal 2 11 3 2 3 3" xfId="5101" xr:uid="{0D6DE2B8-B7BC-40C4-BE0A-A95FAB42E6A8}"/>
    <cellStyle name="Normal 2 11 3 2 4" xfId="963" xr:uid="{992EBCBB-453D-4DBA-BB63-BD756703ED99}"/>
    <cellStyle name="Normal 2 11 3 2 4 2" xfId="5971" xr:uid="{F565ABAB-E079-4B14-9B09-ED4CB8156980}"/>
    <cellStyle name="Normal 2 11 3 2 5" xfId="4233" xr:uid="{C5937523-132B-4E09-8309-4EE4CE0F9912}"/>
    <cellStyle name="Normal 2 11 3 3" xfId="1169" xr:uid="{2F42139A-02B0-4D55-AE2F-FF56BC59890E}"/>
    <cellStyle name="Normal 2 11 3 3 2" xfId="2321" xr:uid="{7A68EB8C-4C35-4F58-9688-88CC79233CA9}"/>
    <cellStyle name="Normal 2 11 3 3 2 2" xfId="3613" xr:uid="{D5323E16-ADDE-418D-B1C5-4FDC23CF3080}"/>
    <cellStyle name="Normal 2 11 3 3 2 2 2" xfId="7068" xr:uid="{1224D15E-C6C1-4729-A196-9C2B37CBC2EA}"/>
    <cellStyle name="Normal 2 11 3 3 2 3" xfId="5329" xr:uid="{1FAAE711-B506-44EB-A8BD-BDB01AEB5B43}"/>
    <cellStyle name="Normal 2 11 3 3 3" xfId="2766" xr:uid="{E5584037-E43E-4DEF-A555-9016DC4FDCDA}"/>
    <cellStyle name="Normal 2 11 3 3 3 2" xfId="6199" xr:uid="{1759EE53-7862-4E19-8AB7-9B18C4F30286}"/>
    <cellStyle name="Normal 2 11 3 3 4" xfId="4459" xr:uid="{1E0DF311-5F34-4D09-938C-936EE310BCCD}"/>
    <cellStyle name="Normal 2 11 3 4" xfId="1528" xr:uid="{E881F147-513C-4849-ACF4-7FA6EDA13472}"/>
    <cellStyle name="Normal 2 11 3 4 2" xfId="3193" xr:uid="{C6698013-718E-470D-93CB-834403097A97}"/>
    <cellStyle name="Normal 2 11 3 4 2 2" xfId="6633" xr:uid="{E4CB258D-99EF-4D42-9CBE-D0534B497869}"/>
    <cellStyle name="Normal 2 11 3 4 3" xfId="4894" xr:uid="{7344A0BC-10A4-4CF1-A595-AD752FBE3C12}"/>
    <cellStyle name="Normal 2 11 3 5" xfId="756" xr:uid="{36B50D4E-7DC8-4857-9CFE-2EB6A8C6CD61}"/>
    <cellStyle name="Normal 2 11 3 5 2" xfId="5764" xr:uid="{A4F49056-79B3-4EAA-99E2-BE18B90C1022}"/>
    <cellStyle name="Normal 2 11 3 6" xfId="4037" xr:uid="{2697DE76-646B-4DD3-87A4-AC8EE23F0BE6}"/>
    <cellStyle name="Normal 2 11 4" xfId="418" xr:uid="{A180B073-8BEF-4D2F-8516-A8A7B45C35FF}"/>
    <cellStyle name="Normal 2 11 4 2" xfId="1278" xr:uid="{32318102-39DA-43AC-9407-9E64E6A8A265}"/>
    <cellStyle name="Normal 2 11 4 2 2" xfId="2419" xr:uid="{45EEFC99-CF7B-428D-9751-19D67022F6C7}"/>
    <cellStyle name="Normal 2 11 4 2 2 2" xfId="3720" xr:uid="{E5DBB9E1-BE5D-484B-B947-46750FD2D473}"/>
    <cellStyle name="Normal 2 11 4 2 2 2 2" xfId="7177" xr:uid="{14D97757-5B9D-4DFC-8C11-A2B3058670DC}"/>
    <cellStyle name="Normal 2 11 4 2 2 3" xfId="5438" xr:uid="{11669BAE-3D84-492C-BBF9-DAE2A2449163}"/>
    <cellStyle name="Normal 2 11 4 2 3" xfId="2873" xr:uid="{372C3963-88A1-477C-8776-2D5941430EE7}"/>
    <cellStyle name="Normal 2 11 4 2 3 2" xfId="6308" xr:uid="{0DC0F0A3-954B-4A87-A74A-9A752430593D}"/>
    <cellStyle name="Normal 2 11 4 2 4" xfId="4568" xr:uid="{86E998FC-63A8-42ED-8B22-18E4E447CCD8}"/>
    <cellStyle name="Normal 2 11 4 3" xfId="1735" xr:uid="{D6D8A584-9FE7-46FB-B8DF-3AB75B393B13}"/>
    <cellStyle name="Normal 2 11 4 3 2" xfId="3298" xr:uid="{4ED394E0-7223-4834-BA05-6509A2DE8878}"/>
    <cellStyle name="Normal 2 11 4 3 2 2" xfId="6742" xr:uid="{90B3E917-76D2-417C-BEB3-A0B653683520}"/>
    <cellStyle name="Normal 2 11 4 3 3" xfId="5003" xr:uid="{69A44C26-4D56-42B0-96E8-5DD27B08C943}"/>
    <cellStyle name="Normal 2 11 4 4" xfId="865" xr:uid="{A46B5883-EA7F-43E3-AB4E-B1A413DC6B45}"/>
    <cellStyle name="Normal 2 11 4 4 2" xfId="5873" xr:uid="{B85FE987-591F-45C0-A0DF-9212589A0225}"/>
    <cellStyle name="Normal 2 11 4 5" xfId="4140" xr:uid="{51973897-DED0-4D87-A91F-8E1D86EE2AC3}"/>
    <cellStyle name="Normal 2 11 5" xfId="1069" xr:uid="{7E62DB10-6E27-441A-B3B0-3E5A828D6D70}"/>
    <cellStyle name="Normal 2 11 5 2" xfId="2236" xr:uid="{AA6F4004-C639-4ECB-A492-1F40140C5082}"/>
    <cellStyle name="Normal 2 11 5 2 2" xfId="3514" xr:uid="{CBA0D478-AAB9-4AD0-A0A3-3C874C04F646}"/>
    <cellStyle name="Normal 2 11 5 2 2 2" xfId="6968" xr:uid="{7F80C70B-0FE6-4AB7-8699-27E1BBC2A7B1}"/>
    <cellStyle name="Normal 2 11 5 2 3" xfId="5229" xr:uid="{6C0CCFDB-35E1-4222-90D4-38387910635F}"/>
    <cellStyle name="Normal 2 11 5 3" xfId="2667" xr:uid="{6E2E11A5-E503-4925-9C12-16ABE5A94C90}"/>
    <cellStyle name="Normal 2 11 5 3 2" xfId="6099" xr:uid="{BBB6B204-C610-44E7-9E77-F6E506F02E4F}"/>
    <cellStyle name="Normal 2 11 5 4" xfId="4359" xr:uid="{B5C61AE7-28F0-41CA-A1C7-914D3F2BA808}"/>
    <cellStyle name="Normal 2 11 6" xfId="1417" xr:uid="{04689032-8B3F-4819-AA2C-FB8AEF594BBD}"/>
    <cellStyle name="Normal 2 11 6 2" xfId="3099" xr:uid="{AC65602A-4B31-43AC-8F1F-0B9E72DAA5A8}"/>
    <cellStyle name="Normal 2 11 6 2 2" xfId="6534" xr:uid="{2BEDE544-D3B3-40E9-BD98-85EE13502631}"/>
    <cellStyle name="Normal 2 11 6 3" xfId="4794" xr:uid="{D2819FEE-B2C8-4BAF-80A6-01F5177A9586}"/>
    <cellStyle name="Normal 2 11 6 4" xfId="2147" xr:uid="{2EDF181F-CFC6-4259-9569-4CE07EEEDCD7}"/>
    <cellStyle name="Normal 2 11 7" xfId="656" xr:uid="{D6B41687-1E5C-4D04-9D49-BF5576877871}"/>
    <cellStyle name="Normal 2 11 7 2" xfId="5664" xr:uid="{20E30D0E-6210-4038-B2EE-C72DFF8DFAA1}"/>
    <cellStyle name="Normal 2 11 8" xfId="3942" xr:uid="{A255C3AA-3AD5-4FCF-82AE-CA2DA2C7818C}"/>
    <cellStyle name="Normal 2 2" xfId="103" xr:uid="{06729883-D4BD-4F03-8B9C-444B5B17A15A}"/>
    <cellStyle name="Normal 2 2 2" xfId="1517" xr:uid="{73DC7239-1F72-487A-A55E-00BC92D33B63}"/>
    <cellStyle name="Normal 2 2 3" xfId="1430" xr:uid="{20555499-5C16-4EC2-9CEF-40D3638C1538}"/>
    <cellStyle name="Normal 2 3" xfId="201" xr:uid="{1866D9F3-EFCD-4E29-A0A5-EE4D3992517B}"/>
    <cellStyle name="Normal 2 3 2" xfId="1514" xr:uid="{2D673459-7EF8-4459-8471-8A839E0A0D67}"/>
    <cellStyle name="Normal 2 3 2 2" xfId="2012" xr:uid="{8B40AB26-FB27-45B1-AD31-2145A0D27B26}"/>
    <cellStyle name="Normal 2 3 3" xfId="1437" xr:uid="{DA48E624-48A3-451B-AF06-C793137F2D54}"/>
    <cellStyle name="Normal 2 4" xfId="40" xr:uid="{7BD7F3B4-E5AF-474D-9183-6DCEADAC0310}"/>
    <cellStyle name="Normal 2 5" xfId="1414" xr:uid="{7D365925-20AD-4F70-9C42-A81BD31C1AAF}"/>
    <cellStyle name="Normal 20" xfId="1412" xr:uid="{C938426E-2751-41DB-86F0-A3604B88A087}"/>
    <cellStyle name="Normal 21" xfId="117" xr:uid="{55AF8799-954A-4648-BEC9-C4E43B817388}"/>
    <cellStyle name="Normal 21 2" xfId="2007" xr:uid="{2DDAAF80-8FC9-4970-9257-5CF004CC7462}"/>
    <cellStyle name="Normal 22" xfId="1937" xr:uid="{2C3A9962-691B-44B2-A0E0-7A0DA436CC82}"/>
    <cellStyle name="Normal 22 2" xfId="2008" xr:uid="{CA97180F-DB4B-4915-985A-EBE8A728521B}"/>
    <cellStyle name="Normal 22 3" xfId="2030" xr:uid="{ECDB465C-2615-422A-9F59-18B0337A0B6B}"/>
    <cellStyle name="Normal 23" xfId="2009" xr:uid="{62E80862-92EC-4B45-98E2-2052D295B9AF}"/>
    <cellStyle name="Normal 23 2" xfId="2089" xr:uid="{DE640135-CB76-4D04-8D19-B1620CD65C4B}"/>
    <cellStyle name="Normal 23 2 2" xfId="2544" xr:uid="{E17DDA6F-7253-4D76-855B-7464D834A72C}"/>
    <cellStyle name="Normal 23 2 2 2" xfId="3850" xr:uid="{D7F2EA6A-925E-48CE-8DE5-A02B7D96BCC3}"/>
    <cellStyle name="Normal 23 2 2 2 2" xfId="7307" xr:uid="{4AE22804-EB78-4A1C-BD50-F43153B2BD55}"/>
    <cellStyle name="Normal 23 2 2 3" xfId="5568" xr:uid="{D9C8CE73-4D67-4D72-B51C-8AE7714A7C3F}"/>
    <cellStyle name="Normal 23 2 3" xfId="3003" xr:uid="{348B894B-8B0B-49E4-BFDF-A702A94C977B}"/>
    <cellStyle name="Normal 23 2 3 2" xfId="6438" xr:uid="{0A1C3080-4AEA-4D0C-876E-65A16B98B73B}"/>
    <cellStyle name="Normal 23 2 4" xfId="4698" xr:uid="{DBE43757-6B40-4C8C-BCFB-7D7104AF7149}"/>
    <cellStyle name="Normal 23 3" xfId="2156" xr:uid="{2A709B83-84EF-44FA-B79A-7DA5F0528C88}"/>
    <cellStyle name="Normal 23 3 2" xfId="3423" xr:uid="{849EA57A-3CED-4C3D-83BD-ED7ED2477122}"/>
    <cellStyle name="Normal 23 3 2 2" xfId="6872" xr:uid="{5A96ECDD-32A9-4A6F-B9D5-93433ADD5535}"/>
    <cellStyle name="Normal 23 3 3" xfId="5133" xr:uid="{2AD109C6-D4A0-4B70-9D0F-5C199746FE86}"/>
    <cellStyle name="Normal 23 4" xfId="2581" xr:uid="{9163E2C1-CA8E-47DD-B755-846D786FA2A5}"/>
    <cellStyle name="Normal 23 4 2" xfId="6003" xr:uid="{BB679669-8972-40E9-A7B5-D7AE857553DC}"/>
    <cellStyle name="Normal 23 5" xfId="4265" xr:uid="{FFB2E354-9705-4A66-ADBA-D2E69DD83406}"/>
    <cellStyle name="Normal 24" xfId="1940" xr:uid="{AD4668A3-2470-451C-986E-DAC61AD4DF2D}"/>
    <cellStyle name="Normal 25" xfId="2010" xr:uid="{B249E7EC-09D9-4DD3-AC84-3C6862066C33}"/>
    <cellStyle name="Normal 26" xfId="2014" xr:uid="{BE4AEA99-062A-4F1D-9687-509F6298B67C}"/>
    <cellStyle name="Normal 27" xfId="1941" xr:uid="{F5B84C85-6A23-4757-B32A-816F79D5028A}"/>
    <cellStyle name="Normal 28" xfId="2028" xr:uid="{955284C5-7470-411C-A049-4DB91D28392A}"/>
    <cellStyle name="Normal 29" xfId="2033" xr:uid="{213F3F11-BD0C-4BEB-B046-08239824EDEF}"/>
    <cellStyle name="Normal 3" xfId="41" xr:uid="{5C7DC3B2-1EF2-4533-B8A4-AFE4A30682BB}"/>
    <cellStyle name="Normal 3 2" xfId="104" xr:uid="{94BCA3CE-B9A4-4CD3-8B78-D23199B07080}"/>
    <cellStyle name="Normal 30" xfId="2034" xr:uid="{20CEA439-98BB-4ECB-8CC1-8363DE0A763F}"/>
    <cellStyle name="Normal 31" xfId="2042" xr:uid="{D6DEE33C-9C22-4F1D-BB23-AA3E71D178E9}"/>
    <cellStyle name="Normal 32" xfId="96" xr:uid="{8FF78F5D-A4A3-4C93-80F6-6728F545E142}"/>
    <cellStyle name="Normal 4" xfId="42" xr:uid="{5C42953A-1760-4A05-8898-C74C252090D4}"/>
    <cellStyle name="Normal 4 10" xfId="146" xr:uid="{02600EE9-4B39-4A8B-AB34-92EE92F65E00}"/>
    <cellStyle name="Normal 4 2" xfId="161" xr:uid="{C47F4600-78F1-4565-96E0-BC6F165AA602}"/>
    <cellStyle name="Normal 4 2 2" xfId="195" xr:uid="{DC061D5E-B19E-4E9C-B49A-D857B21C8698}"/>
    <cellStyle name="Normal 4 2 2 2" xfId="292" xr:uid="{C9DE1B08-C5F1-4C76-9576-F801AB8FC064}"/>
    <cellStyle name="Normal 4 2 2 2 2" xfId="501" xr:uid="{5F27BAB2-47CE-4396-8543-63AE9F187DD6}"/>
    <cellStyle name="Normal 4 2 2 2 2 2" xfId="1361" xr:uid="{49D899AD-ED27-42BE-B055-BB915AEEF746}"/>
    <cellStyle name="Normal 4 2 2 2 2 2 2" xfId="2499" xr:uid="{4B1CD7F0-D6BD-4F10-9852-1D9CB413922D}"/>
    <cellStyle name="Normal 4 2 2 2 2 2 2 2" xfId="3803" xr:uid="{857ECA52-C794-4527-BF91-2633EC7388E4}"/>
    <cellStyle name="Normal 4 2 2 2 2 2 2 2 2" xfId="7260" xr:uid="{343D4C39-0D5D-451D-B8E0-B8C3D91C108E}"/>
    <cellStyle name="Normal 4 2 2 2 2 2 2 3" xfId="5521" xr:uid="{3ABDD03D-95E2-48BF-BA98-F4A39FDAC674}"/>
    <cellStyle name="Normal 4 2 2 2 2 2 3" xfId="2956" xr:uid="{CCB180C8-FE0D-4A52-85BD-4BE5D4952A9E}"/>
    <cellStyle name="Normal 4 2 2 2 2 2 3 2" xfId="6391" xr:uid="{161960D8-276F-4BAF-A2A6-CDD62CF6EEE4}"/>
    <cellStyle name="Normal 4 2 2 2 2 2 4" xfId="4651" xr:uid="{75678C1B-1C50-424B-9CC5-ED7B221CE367}"/>
    <cellStyle name="Normal 4 2 2 2 2 3" xfId="1818" xr:uid="{0B559690-49FD-4678-BC1F-8287A3AADC86}"/>
    <cellStyle name="Normal 4 2 2 2 2 3 2" xfId="3378" xr:uid="{E2666A49-0D85-43DF-B6BA-22D17225CCBE}"/>
    <cellStyle name="Normal 4 2 2 2 2 3 2 2" xfId="6825" xr:uid="{F71A40DC-B0EB-483D-B23E-D36B1901F247}"/>
    <cellStyle name="Normal 4 2 2 2 2 3 3" xfId="5086" xr:uid="{F2513CF0-F2BA-4448-BC88-BA036F7ED8F6}"/>
    <cellStyle name="Normal 4 2 2 2 2 4" xfId="948" xr:uid="{B743A4E3-D57D-4C47-AB48-A5E2C4F8D88E}"/>
    <cellStyle name="Normal 4 2 2 2 2 4 2" xfId="5956" xr:uid="{0E967A38-5E46-4B92-8D08-68205797526C}"/>
    <cellStyle name="Normal 4 2 2 2 2 5" xfId="4220" xr:uid="{77A0B9F6-CC28-4F5F-8A9D-A0C4CEF6F949}"/>
    <cellStyle name="Normal 4 2 2 2 3" xfId="1154" xr:uid="{B329C6E6-2813-48C8-9AE4-222C69AB3114}"/>
    <cellStyle name="Normal 4 2 2 2 3 2" xfId="2311" xr:uid="{C7CCAD8E-BCB8-4A02-8E1C-50B9E2386861}"/>
    <cellStyle name="Normal 4 2 2 2 3 2 2" xfId="3598" xr:uid="{7800EBAE-E622-470C-B198-973143BF8B65}"/>
    <cellStyle name="Normal 4 2 2 2 3 2 2 2" xfId="7053" xr:uid="{F64FAE9B-62D1-450F-8429-F8BB99850226}"/>
    <cellStyle name="Normal 4 2 2 2 3 2 3" xfId="5314" xr:uid="{A70AE7F6-B27D-46E8-87BF-EBD616BEFCC8}"/>
    <cellStyle name="Normal 4 2 2 2 3 3" xfId="2751" xr:uid="{9827E5EF-61AA-4E7D-861A-41D014D64D83}"/>
    <cellStyle name="Normal 4 2 2 2 3 3 2" xfId="6184" xr:uid="{42EB16C4-6182-430F-876C-EF5FA743BD74}"/>
    <cellStyle name="Normal 4 2 2 2 3 4" xfId="4444" xr:uid="{0F4F49B9-04C3-4968-A2F9-09624E7C47DD}"/>
    <cellStyle name="Normal 4 2 2 2 4" xfId="1628" xr:uid="{F0B80AC3-E81B-450B-B1DC-787805E91B17}"/>
    <cellStyle name="Normal 4 2 2 2 4 2" xfId="3180" xr:uid="{913B4138-5654-4873-8C9D-69ECDF8D99BD}"/>
    <cellStyle name="Normal 4 2 2 2 4 2 2" xfId="6618" xr:uid="{74325334-2581-4649-B84F-34A808073D0D}"/>
    <cellStyle name="Normal 4 2 2 2 4 3" xfId="4879" xr:uid="{425BC486-0329-477A-A3FB-FE54F247A496}"/>
    <cellStyle name="Normal 4 2 2 2 5" xfId="741" xr:uid="{B6B1B89A-5AFA-4DD9-96D2-48BB2F490F54}"/>
    <cellStyle name="Normal 4 2 2 2 5 2" xfId="5749" xr:uid="{EC288E62-274D-4FCF-903E-61E0DC12ACD6}"/>
    <cellStyle name="Normal 4 2 2 2 6" xfId="4024" xr:uid="{5547BF4B-A93F-41B1-972A-5038DC6E9043}"/>
    <cellStyle name="Normal 4 2 2 3" xfId="408" xr:uid="{8712BFCD-D68C-489A-918C-4F7FBCBABF09}"/>
    <cellStyle name="Normal 4 2 2 3 2" xfId="1268" xr:uid="{E8C3D6E4-2A7B-4AC0-BECD-DBE4E6A153C6}"/>
    <cellStyle name="Normal 4 2 2 3 2 2" xfId="2411" xr:uid="{9D8CB15B-E824-4811-BD96-79219C9E2CD7}"/>
    <cellStyle name="Normal 4 2 2 3 2 2 2" xfId="3710" xr:uid="{344D5A87-E5F0-4161-AC1A-2FD0BBDF93F3}"/>
    <cellStyle name="Normal 4 2 2 3 2 2 2 2" xfId="7167" xr:uid="{8EF3A8E8-710F-45CB-8CFB-CD6D377F7C58}"/>
    <cellStyle name="Normal 4 2 2 3 2 2 3" xfId="5428" xr:uid="{15BA4120-037E-4B1C-9107-ED7E6574E8CE}"/>
    <cellStyle name="Normal 4 2 2 3 2 3" xfId="2863" xr:uid="{734788A7-A88C-4326-AA1E-4DA543F7888E}"/>
    <cellStyle name="Normal 4 2 2 3 2 3 2" xfId="6298" xr:uid="{DA0E18B1-4AFB-4FC4-88F5-ECC7B374D15E}"/>
    <cellStyle name="Normal 4 2 2 3 2 4" xfId="4558" xr:uid="{F1FCB8F0-DEAC-4A17-91EE-2DED1399301A}"/>
    <cellStyle name="Normal 4 2 2 3 3" xfId="1725" xr:uid="{7C03E7A1-DA56-4185-9E6C-5930CD105574}"/>
    <cellStyle name="Normal 4 2 2 3 3 2" xfId="3290" xr:uid="{084346FA-0918-4739-B999-00DFBF960BA7}"/>
    <cellStyle name="Normal 4 2 2 3 3 2 2" xfId="6732" xr:uid="{CE0FAAE5-4DE6-4E3C-800F-422C61C51DCE}"/>
    <cellStyle name="Normal 4 2 2 3 3 3" xfId="4993" xr:uid="{6DD12E26-7A0E-4B8C-92BF-2AE63B4E4D89}"/>
    <cellStyle name="Normal 4 2 2 3 4" xfId="855" xr:uid="{E8AAF4ED-69F7-4074-AE1A-4E3338B8F7ED}"/>
    <cellStyle name="Normal 4 2 2 3 4 2" xfId="5863" xr:uid="{E9736B2A-2436-4EC0-8C47-4D09BAA6FA6B}"/>
    <cellStyle name="Normal 4 2 2 3 5" xfId="4132" xr:uid="{27ECBF4D-BFD2-4028-89E7-925CA86D1255}"/>
    <cellStyle name="Normal 4 2 2 4" xfId="1055" xr:uid="{43D2C740-D3AD-4E61-8413-EA526E9B8F74}"/>
    <cellStyle name="Normal 4 2 2 4 2" xfId="2228" xr:uid="{2ED86682-2831-4A77-B62A-7891D59B153A}"/>
    <cellStyle name="Normal 4 2 2 4 2 2" xfId="3501" xr:uid="{0C1874B9-3C4E-428C-A5CE-EF36108C54D1}"/>
    <cellStyle name="Normal 4 2 2 4 2 2 2" xfId="6953" xr:uid="{80417796-1BA2-45DA-BB1E-1A891D64F162}"/>
    <cellStyle name="Normal 4 2 2 4 2 3" xfId="5214" xr:uid="{755A171A-4951-4F40-9EC5-5E6CDFF8D4CE}"/>
    <cellStyle name="Normal 4 2 2 4 3" xfId="2658" xr:uid="{6219945C-0B05-4417-AD33-B2FB4CAD2EB4}"/>
    <cellStyle name="Normal 4 2 2 4 3 2" xfId="6084" xr:uid="{70C247BF-7CCC-404D-A38C-D331AC32050B}"/>
    <cellStyle name="Normal 4 2 2 4 4" xfId="4345" xr:uid="{52178B3D-C5A1-4344-8C13-DAE1C0C7D589}"/>
    <cellStyle name="Normal 4 2 2 5" xfId="1510" xr:uid="{BE854D69-90F1-4239-864D-23F62F098EF9}"/>
    <cellStyle name="Normal 4 2 2 5 2" xfId="3084" xr:uid="{CF1D7C89-7D11-4764-AEF0-197A5EE1FBD7}"/>
    <cellStyle name="Normal 4 2 2 5 2 2" xfId="6519" xr:uid="{DB2A5F7B-D903-4615-8370-FBC2609C944C}"/>
    <cellStyle name="Normal 4 2 2 5 3" xfId="4779" xr:uid="{F19B383D-C412-472B-9331-AA545A5A8547}"/>
    <cellStyle name="Normal 4 2 2 6" xfId="641" xr:uid="{F22E5470-21BD-4B86-B5E3-D4668CD93239}"/>
    <cellStyle name="Normal 4 2 2 6 2" xfId="5649" xr:uid="{B8DBAD91-E002-46D3-8FA3-0CF7CDB210A0}"/>
    <cellStyle name="Normal 4 2 2 7" xfId="3933" xr:uid="{2795B228-259B-4858-A3FD-9D14F3F0376E}"/>
    <cellStyle name="Normal 4 2 3" xfId="262" xr:uid="{9C83FCB6-4AEC-478B-B178-FBAB0D41C335}"/>
    <cellStyle name="Normal 4 2 3 2" xfId="471" xr:uid="{E01739B5-736F-4C58-BA93-C5D73AC9562E}"/>
    <cellStyle name="Normal 4 2 3 2 2" xfId="1331" xr:uid="{E90F1C2F-9439-4D7E-B7E8-2D00B53F26BD}"/>
    <cellStyle name="Normal 4 2 3 2 2 2" xfId="2471" xr:uid="{BB264A05-1B82-4116-8C30-547FA38B45F4}"/>
    <cellStyle name="Normal 4 2 3 2 2 2 2" xfId="3773" xr:uid="{4C24A9EA-C8F8-4D22-9B0F-BD8661AAF784}"/>
    <cellStyle name="Normal 4 2 3 2 2 2 2 2" xfId="7230" xr:uid="{542AF59B-0EB6-4E5F-A343-E96205756301}"/>
    <cellStyle name="Normal 4 2 3 2 2 2 3" xfId="5491" xr:uid="{F7C869DB-4BC0-4C4E-8014-263A04ED5B89}"/>
    <cellStyle name="Normal 4 2 3 2 2 3" xfId="2926" xr:uid="{C6261A91-6667-4C71-A527-A76685F8DFC2}"/>
    <cellStyle name="Normal 4 2 3 2 2 3 2" xfId="6361" xr:uid="{F908486E-D512-4D02-8774-C6AEF7683C34}"/>
    <cellStyle name="Normal 4 2 3 2 2 4" xfId="4621" xr:uid="{8775E6A7-AB14-4C04-99C3-408B20ABEDA0}"/>
    <cellStyle name="Normal 4 2 3 2 3" xfId="1788" xr:uid="{4ED1983B-F5B0-410F-AD55-B93DC5A34D18}"/>
    <cellStyle name="Normal 4 2 3 2 3 2" xfId="3350" xr:uid="{2A141383-1F66-40C3-92AD-E8415CEAB96A}"/>
    <cellStyle name="Normal 4 2 3 2 3 2 2" xfId="6795" xr:uid="{6F187F04-4B9D-4A88-BFD4-8ED72B029A3F}"/>
    <cellStyle name="Normal 4 2 3 2 3 3" xfId="5056" xr:uid="{2D5F3F3F-46B3-4BAE-964E-F8D50890FCA0}"/>
    <cellStyle name="Normal 4 2 3 2 4" xfId="918" xr:uid="{78AFFD4D-301F-4ADA-A58E-C25B7BB6C53D}"/>
    <cellStyle name="Normal 4 2 3 2 4 2" xfId="5926" xr:uid="{E51E13C5-5749-4287-93C6-3C7ECA46A5DF}"/>
    <cellStyle name="Normal 4 2 3 2 5" xfId="4192" xr:uid="{C2591D35-2B45-4DC0-900B-E4BC82826563}"/>
    <cellStyle name="Normal 4 2 3 3" xfId="1124" xr:uid="{17AD9D02-7086-4044-A8F2-CB4524092ADE}"/>
    <cellStyle name="Normal 4 2 3 3 2" xfId="2283" xr:uid="{F4C477A4-CD85-4ACC-B971-547D94ABA738}"/>
    <cellStyle name="Normal 4 2 3 3 2 2" xfId="3568" xr:uid="{4C9B4882-E0F4-4E94-9BEF-EDDAB2A778FC}"/>
    <cellStyle name="Normal 4 2 3 3 2 2 2" xfId="7023" xr:uid="{D45D0FA6-3A69-44C4-82E5-48192595FE8C}"/>
    <cellStyle name="Normal 4 2 3 3 2 3" xfId="5284" xr:uid="{C1BA3414-FE46-4C29-B6D4-8A3B19EDCDAF}"/>
    <cellStyle name="Normal 4 2 3 3 3" xfId="2721" xr:uid="{611810B7-7552-47A5-BC02-2F20FE3B6414}"/>
    <cellStyle name="Normal 4 2 3 3 3 2" xfId="6154" xr:uid="{2061366A-D779-4F63-BE53-C5BA2D84358B}"/>
    <cellStyle name="Normal 4 2 3 3 4" xfId="4414" xr:uid="{D8A1D2DE-319B-43BC-B897-FF7684F3DC85}"/>
    <cellStyle name="Normal 4 2 3 4" xfId="1598" xr:uid="{0891B4A4-B074-4780-B692-354C2B56DDFF}"/>
    <cellStyle name="Normal 4 2 3 4 2" xfId="3152" xr:uid="{033BAB68-BCDF-4828-9FA7-49753A5D2A71}"/>
    <cellStyle name="Normal 4 2 3 4 2 2" xfId="6588" xr:uid="{089E3768-086D-4BB6-A75D-71370F2FA7C6}"/>
    <cellStyle name="Normal 4 2 3 4 3" xfId="4849" xr:uid="{3DA240A0-B17A-4ED3-8A1A-9A313CF73A6B}"/>
    <cellStyle name="Normal 4 2 3 5" xfId="711" xr:uid="{8AE4B7E7-B71F-4EE6-BBBA-B4726E2D7F97}"/>
    <cellStyle name="Normal 4 2 3 5 2" xfId="5719" xr:uid="{2DB2B66E-541D-4AF8-908D-6F348F3E830D}"/>
    <cellStyle name="Normal 4 2 3 6" xfId="3996" xr:uid="{44303FCE-CCC1-4E58-B04C-1A8A151E40A9}"/>
    <cellStyle name="Normal 4 2 4" xfId="376" xr:uid="{64CBF59F-9674-45F6-851D-4B4D731D1AA9}"/>
    <cellStyle name="Normal 4 2 4 2" xfId="1238" xr:uid="{B175EB3B-AB77-448E-B6F7-2060677054D0}"/>
    <cellStyle name="Normal 4 2 4 2 2" xfId="2383" xr:uid="{8AD14195-6133-4F4C-B21C-973461EB8AD2}"/>
    <cellStyle name="Normal 4 2 4 2 2 2" xfId="3680" xr:uid="{8E2E32D3-1F58-4C2B-808D-E27A8516C94E}"/>
    <cellStyle name="Normal 4 2 4 2 2 2 2" xfId="7137" xr:uid="{AC11282F-8C2C-4F0E-9CA9-7A20AD1F49C1}"/>
    <cellStyle name="Normal 4 2 4 2 2 3" xfId="5398" xr:uid="{E0669FCA-B5D3-42E6-B4D0-C5D7BE1951A0}"/>
    <cellStyle name="Normal 4 2 4 2 3" xfId="2833" xr:uid="{C3B0BF54-DD0C-4A59-8CED-D562BEE8C3E6}"/>
    <cellStyle name="Normal 4 2 4 2 3 2" xfId="6268" xr:uid="{C917B103-6C82-4147-ABBA-FC917D2B7181}"/>
    <cellStyle name="Normal 4 2 4 2 4" xfId="4528" xr:uid="{0320D71E-3DB8-4D16-BC1F-DA6BA2C6DFAD}"/>
    <cellStyle name="Normal 4 2 4 3" xfId="1694" xr:uid="{42EEB4D7-4CA4-47CD-B719-6387BC521272}"/>
    <cellStyle name="Normal 4 2 4 3 2" xfId="3262" xr:uid="{B618C05A-A517-4DAB-9EE8-568FC1EF6176}"/>
    <cellStyle name="Normal 4 2 4 3 2 2" xfId="6702" xr:uid="{69E94353-5EA9-4A24-B797-624288D05B48}"/>
    <cellStyle name="Normal 4 2 4 3 3" xfId="4963" xr:uid="{45EA3378-10A4-4A1E-9DB7-2CA83EDA4833}"/>
    <cellStyle name="Normal 4 2 4 4" xfId="825" xr:uid="{2BD2AA25-D05E-4F9E-87C6-7427F470A6C8}"/>
    <cellStyle name="Normal 4 2 4 4 2" xfId="5833" xr:uid="{D053397A-6BAB-4608-8DAC-AE3A0F7C7089}"/>
    <cellStyle name="Normal 4 2 4 5" xfId="4104" xr:uid="{8A645978-EA82-49E3-8DD8-DD5D315D8869}"/>
    <cellStyle name="Normal 4 2 5" xfId="1025" xr:uid="{B18843DF-6700-4857-8942-BB9CC8F3CB72}"/>
    <cellStyle name="Normal 4 2 5 2" xfId="2200" xr:uid="{171A0D4F-2D25-4C28-B95C-5CD6FD11908F}"/>
    <cellStyle name="Normal 4 2 5 2 2" xfId="3473" xr:uid="{9FB9FD20-A678-465D-9994-6F3EF03FD358}"/>
    <cellStyle name="Normal 4 2 5 2 2 2" xfId="6923" xr:uid="{3B03FA57-9B63-42BA-92FB-108B152785BA}"/>
    <cellStyle name="Normal 4 2 5 2 3" xfId="5184" xr:uid="{98F473D3-61A6-44BF-815E-7DA01E7160F5}"/>
    <cellStyle name="Normal 4 2 5 3" xfId="2630" xr:uid="{E779627E-026E-4466-BED8-460906318B51}"/>
    <cellStyle name="Normal 4 2 5 3 2" xfId="6054" xr:uid="{AABE473C-B624-4C25-876F-F70B06CE9022}"/>
    <cellStyle name="Normal 4 2 5 4" xfId="4315" xr:uid="{99948DB6-750D-461A-9A4A-367E3B101F15}"/>
    <cellStyle name="Normal 4 2 6" xfId="1479" xr:uid="{9A099BC0-8D10-4981-8F8E-D6041DED8305}"/>
    <cellStyle name="Normal 4 2 6 2" xfId="3054" xr:uid="{A5DB149F-6D9C-4472-96F0-E403BEEC0D5B}"/>
    <cellStyle name="Normal 4 2 6 2 2" xfId="6489" xr:uid="{903214C4-1F0C-4DF4-A1E0-EFDDF9B340A7}"/>
    <cellStyle name="Normal 4 2 6 3" xfId="4749" xr:uid="{1DC1F955-81A4-4ECB-8A4B-AEC44CE116AF}"/>
    <cellStyle name="Normal 4 2 7" xfId="611" xr:uid="{EFF097F4-505C-4646-9314-3CBBEDB01C49}"/>
    <cellStyle name="Normal 4 2 7 2" xfId="5619" xr:uid="{2D9FD966-E5D9-497F-899F-5F23073E0157}"/>
    <cellStyle name="Normal 4 2 8" xfId="3905" xr:uid="{DBE15B17-4201-433D-9CC7-DC1B067B6014}"/>
    <cellStyle name="Normal 4 3" xfId="180" xr:uid="{403F8AA7-7C2A-4CC1-817B-D99E9AA3772D}"/>
    <cellStyle name="Normal 4 3 2" xfId="277" xr:uid="{B4B072CB-C70E-41ED-9F7E-AF54DCD0F7E5}"/>
    <cellStyle name="Normal 4 3 2 2" xfId="486" xr:uid="{654427CC-BCCA-46B9-91E2-2921BCE43828}"/>
    <cellStyle name="Normal 4 3 2 2 2" xfId="1346" xr:uid="{D665C903-EA74-49F8-98A7-8D42D02947BE}"/>
    <cellStyle name="Normal 4 3 2 2 2 2" xfId="2485" xr:uid="{A132AABB-2A8F-43F2-9165-E55E84586C85}"/>
    <cellStyle name="Normal 4 3 2 2 2 2 2" xfId="3788" xr:uid="{BF1D1DBE-3F4F-4528-A5F6-468412613567}"/>
    <cellStyle name="Normal 4 3 2 2 2 2 2 2" xfId="7245" xr:uid="{9598C4ED-7619-45FA-801A-D7A829E76FB3}"/>
    <cellStyle name="Normal 4 3 2 2 2 2 3" xfId="5506" xr:uid="{F6FA9D23-1339-40EA-8EB7-ADEF76D35E00}"/>
    <cellStyle name="Normal 4 3 2 2 2 3" xfId="2941" xr:uid="{06360D3A-2042-4105-AE05-C3164ECB75F5}"/>
    <cellStyle name="Normal 4 3 2 2 2 3 2" xfId="6376" xr:uid="{EDF1700D-5EB0-4A4C-9A41-C17CCB124E25}"/>
    <cellStyle name="Normal 4 3 2 2 2 4" xfId="4636" xr:uid="{B66EFB9B-3FDD-41DC-AFE2-6ABE57006B1D}"/>
    <cellStyle name="Normal 4 3 2 2 3" xfId="1803" xr:uid="{BB77E4F3-333C-421D-9404-288DEC383D4D}"/>
    <cellStyle name="Normal 4 3 2 2 3 2" xfId="3364" xr:uid="{313BD0C2-6D6D-463D-B13D-D9C6D0B13E9C}"/>
    <cellStyle name="Normal 4 3 2 2 3 2 2" xfId="6810" xr:uid="{ECA25F06-6BBD-48D5-8D9D-3487550016C9}"/>
    <cellStyle name="Normal 4 3 2 2 3 3" xfId="5071" xr:uid="{27AE8076-E78F-40D7-80F7-BEEB6D763DEC}"/>
    <cellStyle name="Normal 4 3 2 2 4" xfId="933" xr:uid="{0EC95DF9-3EF1-4EC5-8865-06A2B5330C55}"/>
    <cellStyle name="Normal 4 3 2 2 4 2" xfId="5941" xr:uid="{360C51F7-2D4F-415D-AA13-54387FF986E1}"/>
    <cellStyle name="Normal 4 3 2 2 5" xfId="4206" xr:uid="{569CBBA4-3A18-4E68-8132-FBB97B18FCA1}"/>
    <cellStyle name="Normal 4 3 2 3" xfId="1139" xr:uid="{A7E3390E-B12B-45D9-91DB-D97F96117740}"/>
    <cellStyle name="Normal 4 3 2 3 2" xfId="2297" xr:uid="{BBC3CC71-4423-4FDC-94A5-583A2415BEF0}"/>
    <cellStyle name="Normal 4 3 2 3 2 2" xfId="3583" xr:uid="{E73AB69A-CC27-461B-8CEC-8631E4C6FB14}"/>
    <cellStyle name="Normal 4 3 2 3 2 2 2" xfId="7038" xr:uid="{4A83DB82-070C-4073-B538-EB3EC52062DF}"/>
    <cellStyle name="Normal 4 3 2 3 2 3" xfId="5299" xr:uid="{FA1F4A12-024C-4996-A26C-EC0CB495BDE5}"/>
    <cellStyle name="Normal 4 3 2 3 3" xfId="2736" xr:uid="{2AB9A14E-BC4F-4773-8984-BAC2CEBDA0F3}"/>
    <cellStyle name="Normal 4 3 2 3 3 2" xfId="6169" xr:uid="{A8AADF00-6EA6-4BFB-8322-5320CAEEB059}"/>
    <cellStyle name="Normal 4 3 2 3 4" xfId="4429" xr:uid="{E7C2C7E9-9244-4648-A4D0-CB4A764730C0}"/>
    <cellStyle name="Normal 4 3 2 4" xfId="1613" xr:uid="{A654093F-263D-4514-A6B0-24221BBC9ACE}"/>
    <cellStyle name="Normal 4 3 2 4 2" xfId="3166" xr:uid="{327C853F-6BBC-483F-9724-F838501949EB}"/>
    <cellStyle name="Normal 4 3 2 4 2 2" xfId="6603" xr:uid="{A6C7D764-801C-4F5A-A3CC-D1608ED06FEC}"/>
    <cellStyle name="Normal 4 3 2 4 3" xfId="4864" xr:uid="{59C30F57-A5EC-4E6F-9AF9-EB7DB9939201}"/>
    <cellStyle name="Normal 4 3 2 5" xfId="726" xr:uid="{8942ECA2-5F71-42B7-899D-4EF672E8E22D}"/>
    <cellStyle name="Normal 4 3 2 5 2" xfId="5734" xr:uid="{D8EB158D-F02E-4FC6-98C3-2C036D49375D}"/>
    <cellStyle name="Normal 4 3 2 6" xfId="4010" xr:uid="{21D7AE6D-6C8F-4E73-BC4B-399FF9C13811}"/>
    <cellStyle name="Normal 4 3 3" xfId="393" xr:uid="{394E1A6E-820C-406E-AD08-72B9194F1642}"/>
    <cellStyle name="Normal 4 3 3 2" xfId="1253" xr:uid="{0D7289CE-362D-4433-B334-137AFACF366A}"/>
    <cellStyle name="Normal 4 3 3 2 2" xfId="2397" xr:uid="{AB95400A-3091-4EF5-8584-40EF713CFCA9}"/>
    <cellStyle name="Normal 4 3 3 2 2 2" xfId="3695" xr:uid="{07D14AE5-AF3C-4428-AA84-8AF0B9607CF8}"/>
    <cellStyle name="Normal 4 3 3 2 2 2 2" xfId="7152" xr:uid="{44588EAD-60A8-4763-9250-798CC1640112}"/>
    <cellStyle name="Normal 4 3 3 2 2 3" xfId="5413" xr:uid="{A7AD6AF7-CD50-4E17-9962-E07522FCC4C1}"/>
    <cellStyle name="Normal 4 3 3 2 3" xfId="2848" xr:uid="{AF3B2E16-B652-449F-9A23-3A8D94E9D48A}"/>
    <cellStyle name="Normal 4 3 3 2 3 2" xfId="6283" xr:uid="{1A78C550-6BE9-4DEB-9C4E-A637D72CD757}"/>
    <cellStyle name="Normal 4 3 3 2 4" xfId="4543" xr:uid="{12F3A5CB-D87C-45E2-B203-AFE2F0327D66}"/>
    <cellStyle name="Normal 4 3 3 3" xfId="1710" xr:uid="{2B95F784-4381-4A40-A542-38C2DE1EEDFB}"/>
    <cellStyle name="Normal 4 3 3 3 2" xfId="3276" xr:uid="{80D18F7E-7730-4467-BABD-286B7555AB3B}"/>
    <cellStyle name="Normal 4 3 3 3 2 2" xfId="6717" xr:uid="{3873AB10-2C59-4C78-B65C-22B72DF3BA35}"/>
    <cellStyle name="Normal 4 3 3 3 3" xfId="4978" xr:uid="{7FC4A8B1-6CA5-4678-83E3-3583AE10400B}"/>
    <cellStyle name="Normal 4 3 3 4" xfId="840" xr:uid="{905B55AE-AB46-40D6-A79A-0E1E347DBCB9}"/>
    <cellStyle name="Normal 4 3 3 4 2" xfId="5848" xr:uid="{68223D3A-8C43-4481-9CA5-AF83FB166019}"/>
    <cellStyle name="Normal 4 3 3 5" xfId="4118" xr:uid="{DCEA3DDA-EBD3-4A8E-BD72-2811EAACB829}"/>
    <cellStyle name="Normal 4 3 4" xfId="1040" xr:uid="{3695842B-5A3C-484B-AF7C-0DCCF855398D}"/>
    <cellStyle name="Normal 4 3 4 2" xfId="2214" xr:uid="{DDE98075-E4B6-40A5-BD6F-6757440481E3}"/>
    <cellStyle name="Normal 4 3 4 2 2" xfId="3487" xr:uid="{15C9C688-5ABB-437F-9066-82A568088E09}"/>
    <cellStyle name="Normal 4 3 4 2 2 2" xfId="6938" xr:uid="{D6A7E8B6-2A3C-4C30-B11F-3779C62E3592}"/>
    <cellStyle name="Normal 4 3 4 2 3" xfId="5199" xr:uid="{9738A253-009A-47AA-9699-1CC193145CEF}"/>
    <cellStyle name="Normal 4 3 4 3" xfId="2644" xr:uid="{F0EC287B-371D-4808-90DA-AAA458EA6282}"/>
    <cellStyle name="Normal 4 3 4 3 2" xfId="6069" xr:uid="{EB2C7F9A-EBE6-4A5A-A43F-D35044673494}"/>
    <cellStyle name="Normal 4 3 4 4" xfId="4330" xr:uid="{E9367071-3FC1-418E-AAA6-15DDDC512614}"/>
    <cellStyle name="Normal 4 3 5" xfId="1495" xr:uid="{700D5D22-00FA-4BCC-8D8A-1454E09C80E3}"/>
    <cellStyle name="Normal 4 3 5 2" xfId="3069" xr:uid="{B9A03AC6-F473-44F2-B553-EA0641323215}"/>
    <cellStyle name="Normal 4 3 5 2 2" xfId="6504" xr:uid="{8DEFC555-B88B-46F3-99C6-3C398CEA2AC1}"/>
    <cellStyle name="Normal 4 3 5 3" xfId="4764" xr:uid="{C2DCBEA9-B997-49A3-9800-57DAB1A00009}"/>
    <cellStyle name="Normal 4 3 6" xfId="626" xr:uid="{11EFD635-A64F-4E00-B0EC-417D5F5A88CC}"/>
    <cellStyle name="Normal 4 3 6 2" xfId="5634" xr:uid="{598C3015-2363-4F49-9FD6-267B809258DF}"/>
    <cellStyle name="Normal 4 3 7" xfId="3919" xr:uid="{5732F1D8-F4ED-48EA-9026-F76906EA02B3}"/>
    <cellStyle name="Normal 4 4" xfId="247" xr:uid="{EFF4F9DE-8FB0-489E-8B0C-5A4B4AD726D1}"/>
    <cellStyle name="Normal 4 4 2" xfId="456" xr:uid="{7AF984A0-6F35-40A8-A742-1B09DC355E68}"/>
    <cellStyle name="Normal 4 4 2 2" xfId="1316" xr:uid="{BF5BF81F-1C84-4E19-91D7-85D52F9E8197}"/>
    <cellStyle name="Normal 4 4 2 2 2" xfId="2457" xr:uid="{9CC28A5A-C35E-4549-92C4-E6E832845C01}"/>
    <cellStyle name="Normal 4 4 2 2 2 2" xfId="3758" xr:uid="{32623162-454C-4529-8869-64A2EAD03BEE}"/>
    <cellStyle name="Normal 4 4 2 2 2 2 2" xfId="7215" xr:uid="{086A18E1-6F3A-4701-A952-0480409A801D}"/>
    <cellStyle name="Normal 4 4 2 2 2 3" xfId="5476" xr:uid="{67A384C3-FE45-462A-9474-33A0C6AC13EB}"/>
    <cellStyle name="Normal 4 4 2 2 3" xfId="2911" xr:uid="{0391B163-C571-4680-8B2B-5F1DE0027364}"/>
    <cellStyle name="Normal 4 4 2 2 3 2" xfId="6346" xr:uid="{E44B2625-D122-4912-9246-CAEBBB77092F}"/>
    <cellStyle name="Normal 4 4 2 2 4" xfId="4606" xr:uid="{A1535A6A-E38B-4D11-89B7-4DDE12945F52}"/>
    <cellStyle name="Normal 4 4 2 3" xfId="1773" xr:uid="{1572F5F3-2032-416A-A8EC-2CBC3A04CEA2}"/>
    <cellStyle name="Normal 4 4 2 3 2" xfId="3336" xr:uid="{9B1DAB27-2DC0-4AB9-971E-931DDB847633}"/>
    <cellStyle name="Normal 4 4 2 3 2 2" xfId="6780" xr:uid="{CA2347A0-72C4-4AA6-8C27-EB84D0E90508}"/>
    <cellStyle name="Normal 4 4 2 3 3" xfId="5041" xr:uid="{D4B37505-1958-4017-99DF-BA24689B2BD2}"/>
    <cellStyle name="Normal 4 4 2 4" xfId="903" xr:uid="{CE57A264-B66F-4923-9409-74375F67702B}"/>
    <cellStyle name="Normal 4 4 2 4 2" xfId="5911" xr:uid="{9EF7160A-B1DD-4CEC-8BC8-BAC5FA4160A3}"/>
    <cellStyle name="Normal 4 4 2 5" xfId="4178" xr:uid="{F5975E17-5423-4476-9D2F-EF87FDEDD8F3}"/>
    <cellStyle name="Normal 4 4 3" xfId="1109" xr:uid="{30C6FB2D-609B-42C3-A1E3-3987ED90E8C1}"/>
    <cellStyle name="Normal 4 4 3 2" xfId="2269" xr:uid="{CD222106-B012-4050-9A14-17B316DC1F73}"/>
    <cellStyle name="Normal 4 4 3 2 2" xfId="3554" xr:uid="{872D96A9-731F-437D-B4B6-49988F3C73BE}"/>
    <cellStyle name="Normal 4 4 3 2 2 2" xfId="7008" xr:uid="{256EB2DA-1CE9-4651-B003-1326DFA378CB}"/>
    <cellStyle name="Normal 4 4 3 2 3" xfId="5269" xr:uid="{413CEB9F-66E5-4719-BAFD-682E15944D5C}"/>
    <cellStyle name="Normal 4 4 3 3" xfId="2707" xr:uid="{BF14C343-1333-419D-BC53-EBE6210D1B3F}"/>
    <cellStyle name="Normal 4 4 3 3 2" xfId="6139" xr:uid="{00056361-A9E8-4416-9696-E974DCD3A783}"/>
    <cellStyle name="Normal 4 4 3 4" xfId="4399" xr:uid="{20262302-06A7-4DDB-A634-AAFC5C47F004}"/>
    <cellStyle name="Normal 4 4 4" xfId="1583" xr:uid="{CECC6E69-D448-4854-A049-1C0CBCBE1134}"/>
    <cellStyle name="Normal 4 4 4 2" xfId="3137" xr:uid="{EEE10DB7-C4AC-4853-9240-374DBF6737D6}"/>
    <cellStyle name="Normal 4 4 4 2 2" xfId="6573" xr:uid="{93F5E9F9-F9F0-4B88-BCD6-793F8649FA73}"/>
    <cellStyle name="Normal 4 4 4 3" xfId="4834" xr:uid="{1641C59C-6E6D-45E0-ACC1-427714E817D7}"/>
    <cellStyle name="Normal 4 4 5" xfId="696" xr:uid="{223DD6D4-0963-445A-A1BA-28C9A9B14922}"/>
    <cellStyle name="Normal 4 4 5 2" xfId="5704" xr:uid="{0FD064A4-0985-4158-9FA0-5E537F982568}"/>
    <cellStyle name="Normal 4 4 6" xfId="3982" xr:uid="{14B07504-F3C6-4D2D-82EB-FA4C84174D02}"/>
    <cellStyle name="Normal 4 5" xfId="361" xr:uid="{42D64DAF-AF31-4FE9-B5EE-F860E6A5A209}"/>
    <cellStyle name="Normal 4 5 2" xfId="1223" xr:uid="{34EE60A7-35DB-4A01-B116-5E4110F7A912}"/>
    <cellStyle name="Normal 4 5 2 2" xfId="2369" xr:uid="{21D67CF4-96A5-43CE-A532-C4347C252242}"/>
    <cellStyle name="Normal 4 5 2 2 2" xfId="3666" xr:uid="{FFA10747-3F47-48FC-9AED-D1530571FCA0}"/>
    <cellStyle name="Normal 4 5 2 2 2 2" xfId="7122" xr:uid="{CF91A151-A129-4274-A0AE-59485F617B03}"/>
    <cellStyle name="Normal 4 5 2 2 3" xfId="5383" xr:uid="{7C3F1B1C-9793-473B-BEE7-2F55A284E09D}"/>
    <cellStyle name="Normal 4 5 2 3" xfId="2819" xr:uid="{0640A226-A1A7-49E8-9D78-68C15EDE96EF}"/>
    <cellStyle name="Normal 4 5 2 3 2" xfId="6253" xr:uid="{062ACAF3-B4E6-4665-BDD6-AF6F2D40E93A}"/>
    <cellStyle name="Normal 4 5 2 4" xfId="4513" xr:uid="{F776A2FA-AFFF-4E5E-B53B-B1564CB6A120}"/>
    <cellStyle name="Normal 4 5 3" xfId="1679" xr:uid="{BCF1E53E-73B2-4C7D-A067-5C439D7D4CA2}"/>
    <cellStyle name="Normal 4 5 3 2" xfId="3247" xr:uid="{E83A7407-3663-4265-8804-83C8D399F076}"/>
    <cellStyle name="Normal 4 5 3 2 2" xfId="6687" xr:uid="{3D89C2EC-BF4E-48EA-82FC-B9A0568EDD33}"/>
    <cellStyle name="Normal 4 5 3 3" xfId="4948" xr:uid="{2A3601E8-4771-44AB-A51B-C4BF30ADF586}"/>
    <cellStyle name="Normal 4 5 4" xfId="810" xr:uid="{102E2D98-57F4-427F-A893-FA6483C45D4E}"/>
    <cellStyle name="Normal 4 5 4 2" xfId="5818" xr:uid="{6265F9DF-1E50-4F4F-9C6B-507B266ED3E0}"/>
    <cellStyle name="Normal 4 5 5" xfId="4090" xr:uid="{7087CB48-7E0D-42A3-86EF-52686CD50532}"/>
    <cellStyle name="Normal 4 6" xfId="1010" xr:uid="{09770D50-3910-42AD-A9BE-BE11DDE93005}"/>
    <cellStyle name="Normal 4 6 2" xfId="2186" xr:uid="{36329CE6-F8AE-4AE2-AFEB-13B732067DC7}"/>
    <cellStyle name="Normal 4 6 2 2" xfId="3459" xr:uid="{31E59746-C856-4E34-96F7-244764746C77}"/>
    <cellStyle name="Normal 4 6 2 2 2" xfId="6908" xr:uid="{440F9CD7-7DE4-48C6-885C-A53856E9D737}"/>
    <cellStyle name="Normal 4 6 2 3" xfId="5169" xr:uid="{61A01934-E043-47C4-9B57-4225C21D1194}"/>
    <cellStyle name="Normal 4 6 3" xfId="2616" xr:uid="{3916EAA2-D36E-4202-8986-147E7D0398A0}"/>
    <cellStyle name="Normal 4 6 3 2" xfId="6039" xr:uid="{41CBEAF6-82FB-4C51-BD4F-486C47B98A45}"/>
    <cellStyle name="Normal 4 6 4" xfId="4301" xr:uid="{6C37C74A-85F9-4418-8DB5-412E853D59E7}"/>
    <cellStyle name="Normal 4 7" xfId="1464" xr:uid="{949D53AD-61C6-4D1C-BD10-421F09225901}"/>
    <cellStyle name="Normal 4 7 2" xfId="3039" xr:uid="{D2F75D30-9425-4FB8-95D4-122FF587D916}"/>
    <cellStyle name="Normal 4 7 2 2" xfId="6474" xr:uid="{156C3F95-BE25-4C1B-9DFB-25B5FB1A3A25}"/>
    <cellStyle name="Normal 4 7 3" xfId="4734" xr:uid="{8C6EBC70-014C-4D7F-8FDC-318249689D7D}"/>
    <cellStyle name="Normal 4 8" xfId="596" xr:uid="{E48992B0-C05B-4F18-AC4F-1D50AD62A192}"/>
    <cellStyle name="Normal 4 8 2" xfId="5604" xr:uid="{7F9B2949-E2EC-47D5-A52F-FF8F4735FAB5}"/>
    <cellStyle name="Normal 4 9" xfId="3891" xr:uid="{C702B53B-DBCE-41AD-A661-C2F67DACE2F6}"/>
    <cellStyle name="Normal 5" xfId="164" xr:uid="{4C061549-44B5-458B-B4F0-8A2F9593A21C}"/>
    <cellStyle name="Normal 5 2" xfId="198" xr:uid="{D6E6EF72-CA91-4C70-9BF0-752F91F03B18}"/>
    <cellStyle name="Normal 6" xfId="106" xr:uid="{9A0FDA44-0D92-45D3-8E40-34C46CA08527}"/>
    <cellStyle name="Normal 6 10" xfId="647" xr:uid="{520509C2-0E8D-47F0-82B2-BF60934F4813}"/>
    <cellStyle name="Normal 6 10 2" xfId="5655" xr:uid="{A8EBCB3A-D29D-41B2-9777-9FCF1E003965}"/>
    <cellStyle name="Normal 6 11" xfId="3937" xr:uid="{2E9341EB-FA0D-498D-903B-FCB65409506C}"/>
    <cellStyle name="Normal 6 2" xfId="215" xr:uid="{77C636DA-2748-4E5F-9BBC-D3F6E2A66872}"/>
    <cellStyle name="Normal 6 2 2" xfId="310" xr:uid="{06185121-A3D6-47B7-A5CC-96DDB74E25EB}"/>
    <cellStyle name="Normal 6 2 2 2" xfId="519" xr:uid="{BE584AC2-9109-4067-B1FB-B511F782BCCA}"/>
    <cellStyle name="Normal 6 2 2 2 2" xfId="1379" xr:uid="{33D670AD-E018-4DA8-B0F8-AA38AB2F0464}"/>
    <cellStyle name="Normal 6 2 2 2 2 2" xfId="2515" xr:uid="{961ADA4B-A03C-4B7E-951C-2FEB4AEA77B1}"/>
    <cellStyle name="Normal 6 2 2 2 2 2 2" xfId="3821" xr:uid="{1CA26F33-9579-4ADB-B42A-20EBEEAE96DB}"/>
    <cellStyle name="Normal 6 2 2 2 2 2 2 2" xfId="7278" xr:uid="{2FC5824D-0C16-4EEA-856E-E2B15389B133}"/>
    <cellStyle name="Normal 6 2 2 2 2 2 3" xfId="5539" xr:uid="{B8A51556-F04A-444D-AC78-505019DAFBB7}"/>
    <cellStyle name="Normal 6 2 2 2 2 3" xfId="2974" xr:uid="{D0A482D7-E622-42C3-8901-2B8FF6A2CEFE}"/>
    <cellStyle name="Normal 6 2 2 2 2 3 2" xfId="6409" xr:uid="{8B8DADE2-ED39-40ED-A65A-3AFE64CE9508}"/>
    <cellStyle name="Normal 6 2 2 2 2 4" xfId="4669" xr:uid="{948562C0-B49A-4D7E-8849-AA5F6A0E2AFC}"/>
    <cellStyle name="Normal 6 2 2 2 3" xfId="1836" xr:uid="{BABF43D0-4A09-4490-B976-33021755F4BD}"/>
    <cellStyle name="Normal 6 2 2 2 3 2" xfId="3394" xr:uid="{D547CA65-9A35-46D6-81A1-429E808E72EB}"/>
    <cellStyle name="Normal 6 2 2 2 3 2 2" xfId="6843" xr:uid="{74CCB4FA-CA55-4194-BCE7-C0BA41B99A00}"/>
    <cellStyle name="Normal 6 2 2 2 3 3" xfId="5104" xr:uid="{887A4CF1-C8B3-477B-903D-537C86CD6E40}"/>
    <cellStyle name="Normal 6 2 2 2 4" xfId="966" xr:uid="{DA8703E4-76CF-46DB-94FE-21A9E8CF8843}"/>
    <cellStyle name="Normal 6 2 2 2 4 2" xfId="5974" xr:uid="{5A2E0E0F-85DF-4720-9668-10E1D94E5BF4}"/>
    <cellStyle name="Normal 6 2 2 2 5" xfId="4236" xr:uid="{3E16E541-3CCA-4BF3-B6FB-0344AD6E2052}"/>
    <cellStyle name="Normal 6 2 2 3" xfId="1172" xr:uid="{782B24C3-42F0-48AF-96B3-5872B2CDF1AD}"/>
    <cellStyle name="Normal 6 2 2 3 2" xfId="2323" xr:uid="{10D4A1EB-165F-4549-ADD4-6ED02E94E8A7}"/>
    <cellStyle name="Normal 6 2 2 3 2 2" xfId="3616" xr:uid="{23AA30CD-3E8C-4367-972A-7477FC9C29C9}"/>
    <cellStyle name="Normal 6 2 2 3 2 2 2" xfId="7071" xr:uid="{237F1829-8034-430E-90E2-B1D1D77A6D1C}"/>
    <cellStyle name="Normal 6 2 2 3 2 3" xfId="5332" xr:uid="{084F48B0-756A-4B76-9B43-3307ED56591B}"/>
    <cellStyle name="Normal 6 2 2 3 3" xfId="2769" xr:uid="{555E4E98-A433-4B46-B483-430B3D91C870}"/>
    <cellStyle name="Normal 6 2 2 3 3 2" xfId="6202" xr:uid="{0BBB488C-3F08-40C1-94E4-63E23347529F}"/>
    <cellStyle name="Normal 6 2 2 3 4" xfId="4462" xr:uid="{FB7FD11B-0E41-4CF5-8854-5F0EEC2C89F9}"/>
    <cellStyle name="Normal 6 2 2 4" xfId="1637" xr:uid="{A81105EA-C6C4-43D9-82E2-9AFBB82860EF}"/>
    <cellStyle name="Normal 6 2 2 4 2" xfId="3196" xr:uid="{F703A0E8-1793-4C99-9067-888B5A00F478}"/>
    <cellStyle name="Normal 6 2 2 4 2 2" xfId="6636" xr:uid="{1D00B8C6-F043-49E9-BE6C-5D329BFDA001}"/>
    <cellStyle name="Normal 6 2 2 4 3" xfId="4897" xr:uid="{C61C86E1-E6EC-46A2-BCD2-91FF75002079}"/>
    <cellStyle name="Normal 6 2 2 5" xfId="759" xr:uid="{F2616B5C-E15C-44A0-943E-F8353ADBCA65}"/>
    <cellStyle name="Normal 6 2 2 5 2" xfId="5767" xr:uid="{43DF0C37-6F19-49C3-93A2-1B0A8AB9383F}"/>
    <cellStyle name="Normal 6 2 2 6" xfId="4040" xr:uid="{772DD67E-B306-4A49-BAA6-32C8EA6AB811}"/>
    <cellStyle name="Normal 6 2 3" xfId="421" xr:uid="{8F159608-4FD4-4FAE-9E5D-53A072BFF156}"/>
    <cellStyle name="Normal 6 2 3 2" xfId="1281" xr:uid="{ADEB083D-A8E7-415E-B733-BA076DA9B7BF}"/>
    <cellStyle name="Normal 6 2 3 2 2" xfId="2422" xr:uid="{3F3579F0-A6D5-447F-94DA-39A7E4E0A35B}"/>
    <cellStyle name="Normal 6 2 3 2 2 2" xfId="3723" xr:uid="{AF5ECD06-FE3F-4C74-B0E3-1B07D54DC41F}"/>
    <cellStyle name="Normal 6 2 3 2 2 2 2" xfId="7180" xr:uid="{33BC5C3A-939D-4338-A475-85873A0911B7}"/>
    <cellStyle name="Normal 6 2 3 2 2 3" xfId="5441" xr:uid="{E3D294F3-45D8-4A29-92C9-162EB851211B}"/>
    <cellStyle name="Normal 6 2 3 2 3" xfId="2876" xr:uid="{345714FC-5741-4C12-A3AA-4C4E9916A221}"/>
    <cellStyle name="Normal 6 2 3 2 3 2" xfId="6311" xr:uid="{F2C49CC8-1D4B-4D2A-B6FE-4F5A94CC24F3}"/>
    <cellStyle name="Normal 6 2 3 2 4" xfId="4571" xr:uid="{51062D0C-C7BC-43F5-A48B-5C2F3B3F1E2E}"/>
    <cellStyle name="Normal 6 2 3 3" xfId="1738" xr:uid="{4A6DBB33-3321-4333-BE6F-021D55D5140C}"/>
    <cellStyle name="Normal 6 2 3 3 2" xfId="3301" xr:uid="{836CE4BA-3469-4EE2-AFAD-8A745A98445B}"/>
    <cellStyle name="Normal 6 2 3 3 2 2" xfId="6745" xr:uid="{D2ABEDE2-8CDB-48B8-BF97-7F15744EC499}"/>
    <cellStyle name="Normal 6 2 3 3 3" xfId="5006" xr:uid="{67D2D073-1FFF-43AD-9A83-E59829B9DA24}"/>
    <cellStyle name="Normal 6 2 3 4" xfId="868" xr:uid="{CE65F404-CFD1-4D2D-A70E-CBF358574D46}"/>
    <cellStyle name="Normal 6 2 3 4 2" xfId="5876" xr:uid="{604C45FF-0824-4F7C-AD15-C8A15C3BABF9}"/>
    <cellStyle name="Normal 6 2 3 5" xfId="4143" xr:uid="{1A72CA2D-0057-4213-B8D2-EECA2D86D4F6}"/>
    <cellStyle name="Normal 6 2 4" xfId="1072" xr:uid="{36D78249-0E06-4A44-95EC-3BE87F8D59FB}"/>
    <cellStyle name="Normal 6 2 4 2" xfId="2239" xr:uid="{BCCAD125-CF2F-49F4-BF0B-37114ACEB41E}"/>
    <cellStyle name="Normal 6 2 4 2 2" xfId="3517" xr:uid="{391BBD47-2B56-458E-A27F-E19CD004D561}"/>
    <cellStyle name="Normal 6 2 4 2 2 2" xfId="6971" xr:uid="{7A773940-3FF4-42D9-B203-F417B3CE7BD5}"/>
    <cellStyle name="Normal 6 2 4 2 3" xfId="5232" xr:uid="{B6DE41D5-6DE5-46E2-8752-1AE2F77F6032}"/>
    <cellStyle name="Normal 6 2 4 3" xfId="2670" xr:uid="{27658EC2-75B8-4F10-A08E-332AC25323AA}"/>
    <cellStyle name="Normal 6 2 4 3 2" xfId="6102" xr:uid="{CF731018-1E72-40CA-B868-2C2B6A65774D}"/>
    <cellStyle name="Normal 6 2 4 4" xfId="4362" xr:uid="{09BD8C3F-8B01-4468-8DCA-547C518EF371}"/>
    <cellStyle name="Normal 6 2 5" xfId="1531" xr:uid="{3A276EC1-8F53-46A3-BFEE-A0ECCF29EFCB}"/>
    <cellStyle name="Normal 6 2 5 2" xfId="3102" xr:uid="{814E9E45-F968-4AE0-A657-D7B2A6BC449F}"/>
    <cellStyle name="Normal 6 2 5 2 2" xfId="6537" xr:uid="{A534EA0C-E49D-40D9-AE93-C7CAAE7A8DAC}"/>
    <cellStyle name="Normal 6 2 5 3" xfId="4797" xr:uid="{0692754C-83B3-4D07-B286-E4B43B57058E}"/>
    <cellStyle name="Normal 6 2 6" xfId="659" xr:uid="{16CC4EFB-A50C-4335-9D17-4FB7BC93561F}"/>
    <cellStyle name="Normal 6 2 6 2" xfId="5667" xr:uid="{866656A1-F0B9-4DB7-82FF-A652B95C5710}"/>
    <cellStyle name="Normal 6 2 7" xfId="3945" xr:uid="{BD640BF9-3DC3-47AA-A7C7-A857A16660C4}"/>
    <cellStyle name="Normal 6 3" xfId="222" xr:uid="{B1BA65FA-4F26-44AF-AE6F-12C2D4C231BF}"/>
    <cellStyle name="Normal 6 3 2" xfId="315" xr:uid="{F178E936-D06C-45A8-8C0B-004C0264EA49}"/>
    <cellStyle name="Normal 6 3 2 2" xfId="525" xr:uid="{6AACE1F2-B4B9-43F6-8F96-A813EF640C3F}"/>
    <cellStyle name="Normal 6 3 2 2 2" xfId="1385" xr:uid="{45F47432-395C-4493-92B4-682CA0E00790}"/>
    <cellStyle name="Normal 6 3 2 2 2 2" xfId="2521" xr:uid="{A8CBB048-9DE2-4F6B-A19E-AD299D8FB126}"/>
    <cellStyle name="Normal 6 3 2 2 2 2 2" xfId="3827" xr:uid="{CFBC3DC6-9AC6-4CF0-8126-D3A7176973C4}"/>
    <cellStyle name="Normal 6 3 2 2 2 2 2 2" xfId="7284" xr:uid="{AB82005D-84E6-4938-A390-9C57A66B1E94}"/>
    <cellStyle name="Normal 6 3 2 2 2 2 3" xfId="5545" xr:uid="{C325BBE8-58AC-42FF-BEC5-A5F89AE8E153}"/>
    <cellStyle name="Normal 6 3 2 2 2 3" xfId="2980" xr:uid="{2FCB45EA-5DC4-4DC2-A93B-610C6077CBC7}"/>
    <cellStyle name="Normal 6 3 2 2 2 3 2" xfId="6415" xr:uid="{8756B744-733F-48B0-A3A2-0535A7098E52}"/>
    <cellStyle name="Normal 6 3 2 2 2 4" xfId="4675" xr:uid="{54E41D18-26B9-4E89-AE6E-ABC8F3374F6D}"/>
    <cellStyle name="Normal 6 3 2 2 3" xfId="1842" xr:uid="{CA0A8636-E467-4C3B-9AA7-768B4CE5D74E}"/>
    <cellStyle name="Normal 6 3 2 2 3 2" xfId="3400" xr:uid="{658B8C88-1671-49D7-B425-CD7959C3787C}"/>
    <cellStyle name="Normal 6 3 2 2 3 2 2" xfId="6849" xr:uid="{448BC11A-516E-4CE7-8055-CDB11E742DBD}"/>
    <cellStyle name="Normal 6 3 2 2 3 3" xfId="5110" xr:uid="{495B264B-D2AE-4B94-8BF9-16FBB0759DEE}"/>
    <cellStyle name="Normal 6 3 2 2 4" xfId="972" xr:uid="{271E4A68-916A-40A7-B305-DBB7CD68EF18}"/>
    <cellStyle name="Normal 6 3 2 2 4 2" xfId="5980" xr:uid="{79EA5760-A206-4ECB-941E-8C04CE7EED4D}"/>
    <cellStyle name="Normal 6 3 2 2 5" xfId="4242" xr:uid="{9E385267-7A26-4CD2-846A-A014ACE8B87F}"/>
    <cellStyle name="Normal 6 3 2 3" xfId="1178" xr:uid="{64940251-9C2F-4B63-B989-91E1E4EFF01F}"/>
    <cellStyle name="Normal 6 3 2 3 2" xfId="2329" xr:uid="{0571590F-6B47-420F-9110-00C8401B2BA6}"/>
    <cellStyle name="Normal 6 3 2 3 2 2" xfId="3622" xr:uid="{ECF0136A-3C61-4570-B771-8B39B9E4135E}"/>
    <cellStyle name="Normal 6 3 2 3 2 2 2" xfId="7077" xr:uid="{D1CFA15C-B8A3-4463-BD54-924C842EA33B}"/>
    <cellStyle name="Normal 6 3 2 3 2 3" xfId="5338" xr:uid="{FF0536C2-8E98-4AD1-8968-55174C2B2AF5}"/>
    <cellStyle name="Normal 6 3 2 3 3" xfId="2775" xr:uid="{35D47627-D1DF-4021-9CC7-A7C6707A9338}"/>
    <cellStyle name="Normal 6 3 2 3 3 2" xfId="6208" xr:uid="{A27AC46F-6B83-44A6-8D64-55C267AEC338}"/>
    <cellStyle name="Normal 6 3 2 3 4" xfId="4468" xr:uid="{E525A551-6FDD-450E-ABB4-E041C345955E}"/>
    <cellStyle name="Normal 6 3 2 4" xfId="1642" xr:uid="{BEE2B9B9-89F0-4411-855A-BE649DADD5DB}"/>
    <cellStyle name="Normal 6 3 2 4 2" xfId="3202" xr:uid="{7D968673-9A22-406E-93BA-CF23D0ACD874}"/>
    <cellStyle name="Normal 6 3 2 4 2 2" xfId="6642" xr:uid="{39CD0ED1-6934-40DB-A077-F39E7F4759BB}"/>
    <cellStyle name="Normal 6 3 2 4 3" xfId="4903" xr:uid="{6AE534DC-3C7B-408B-B98A-F3339174351E}"/>
    <cellStyle name="Normal 6 3 2 5" xfId="765" xr:uid="{9C5CA8B2-A445-4E99-9A62-1EC8D0D0FE22}"/>
    <cellStyle name="Normal 6 3 2 5 2" xfId="5773" xr:uid="{5F46ED6B-0A69-494F-A855-C1CC47C5B67E}"/>
    <cellStyle name="Normal 6 3 2 6" xfId="4046" xr:uid="{D73025ED-D7E0-4794-AD08-14E841370006}"/>
    <cellStyle name="Normal 6 3 3" xfId="427" xr:uid="{B7AB9F2B-6982-4CAB-AF84-7A632E9968BE}"/>
    <cellStyle name="Normal 6 3 3 2" xfId="1287" xr:uid="{6DA7DC30-005E-49E0-9C71-F165E80FAFDF}"/>
    <cellStyle name="Normal 6 3 3 2 2" xfId="2428" xr:uid="{C3EE98C1-705F-4AB6-83EE-4CB166E2F567}"/>
    <cellStyle name="Normal 6 3 3 2 2 2" xfId="3729" xr:uid="{B9091E35-F61C-4BAC-A9E0-170FD4098225}"/>
    <cellStyle name="Normal 6 3 3 2 2 2 2" xfId="7186" xr:uid="{E63E9A66-FA0C-4B81-AEAC-FA9B5669AB54}"/>
    <cellStyle name="Normal 6 3 3 2 2 3" xfId="5447" xr:uid="{ECC04888-1B9F-45C3-A2A3-958A43E7830E}"/>
    <cellStyle name="Normal 6 3 3 2 3" xfId="2882" xr:uid="{49FE83AB-BAFC-4D7B-A606-F97F78A16A17}"/>
    <cellStyle name="Normal 6 3 3 2 3 2" xfId="6317" xr:uid="{C3A5839C-6598-41ED-BD9C-1A557B5DC6EC}"/>
    <cellStyle name="Normal 6 3 3 2 4" xfId="4577" xr:uid="{6FEE143D-6548-47AD-9079-63BFF0D96A89}"/>
    <cellStyle name="Normal 6 3 3 3" xfId="1744" xr:uid="{C90EC176-ED8B-441C-8626-2C0BB5AF661B}"/>
    <cellStyle name="Normal 6 3 3 3 2" xfId="3307" xr:uid="{2F98F0C8-1CA9-448A-8B1D-39BD99F020C2}"/>
    <cellStyle name="Normal 6 3 3 3 2 2" xfId="6751" xr:uid="{103FBF09-0A0D-4042-9DD1-2627A31F6B06}"/>
    <cellStyle name="Normal 6 3 3 3 3" xfId="5012" xr:uid="{2FA4FF45-B71D-409E-9D23-21C7E87CE181}"/>
    <cellStyle name="Normal 6 3 3 4" xfId="874" xr:uid="{1A20CD2A-B6E7-43D6-B7B1-DFB4C3856919}"/>
    <cellStyle name="Normal 6 3 3 4 2" xfId="5882" xr:uid="{36742085-BA9A-4209-8DE7-66B44D89BF98}"/>
    <cellStyle name="Normal 6 3 3 5" xfId="4149" xr:uid="{F509B18B-E399-4BB2-B7AD-7239A2C3EEE4}"/>
    <cellStyle name="Normal 6 3 4" xfId="1078" xr:uid="{42783016-7230-4B7D-9DB4-4D83236F4619}"/>
    <cellStyle name="Normal 6 3 4 2" xfId="2243" xr:uid="{3B9DDC59-5AB9-496A-BE7F-08F644905CF2}"/>
    <cellStyle name="Normal 6 3 4 2 2" xfId="3523" xr:uid="{D3F82B4B-C6A4-4576-A0F4-57E21C136CCE}"/>
    <cellStyle name="Normal 6 3 4 2 2 2" xfId="6977" xr:uid="{3B448093-89A3-459C-ACC9-AC48D7BD77EE}"/>
    <cellStyle name="Normal 6 3 4 2 3" xfId="5238" xr:uid="{169D7E7D-9271-4915-85BB-DE7521EE43D4}"/>
    <cellStyle name="Normal 6 3 4 3" xfId="2676" xr:uid="{A1F36365-DFBE-412D-8764-8095903AEDB7}"/>
    <cellStyle name="Normal 6 3 4 3 2" xfId="6108" xr:uid="{64C3762B-9287-4666-AB99-C96C525BB64D}"/>
    <cellStyle name="Normal 6 3 4 4" xfId="4368" xr:uid="{8544193A-20A4-4660-87C1-CD2FB87E85D9}"/>
    <cellStyle name="Normal 6 3 5" xfId="1538" xr:uid="{7DC05C9B-4E4F-48B6-8BE1-D8BCA126AA8A}"/>
    <cellStyle name="Normal 6 3 5 2" xfId="3108" xr:uid="{22FB7224-A641-40C6-94C3-70631B830AA7}"/>
    <cellStyle name="Normal 6 3 5 2 2" xfId="6543" xr:uid="{FF61E841-A155-4D1B-85F5-A78D7EB44441}"/>
    <cellStyle name="Normal 6 3 5 3" xfId="4803" xr:uid="{5E8721C8-E7AA-4D59-86DF-2B83F8AA1953}"/>
    <cellStyle name="Normal 6 3 6" xfId="665" xr:uid="{76405521-60AA-4B6F-977E-B6FE9C2BBB2F}"/>
    <cellStyle name="Normal 6 3 6 2" xfId="5673" xr:uid="{C4BFFA49-FAB7-4B1C-AD9F-3F4888A320EE}"/>
    <cellStyle name="Normal 6 3 7" xfId="3951" xr:uid="{DBF8783A-3073-44C7-958D-A3F563D327C2}"/>
    <cellStyle name="Normal 6 4" xfId="230" xr:uid="{B0A34C39-B2C7-4A2C-83CF-41F75A4C0241}"/>
    <cellStyle name="Normal 6 4 2" xfId="328" xr:uid="{3C0661E8-7FB3-434C-BB43-5F593177617A}"/>
    <cellStyle name="Normal 6 4 2 2" xfId="538" xr:uid="{9954C87C-7F9D-4CAC-BEED-BC422A77AAC0}"/>
    <cellStyle name="Normal 6 4 2 2 2" xfId="1398" xr:uid="{C52BE50A-B4E0-4FBB-B5E9-7A6922378BCD}"/>
    <cellStyle name="Normal 6 4 2 2 2 2" xfId="2534" xr:uid="{0064853C-B3FE-47B5-943A-60F07FE0EDB6}"/>
    <cellStyle name="Normal 6 4 2 2 2 2 2" xfId="3840" xr:uid="{ABD03007-DF9E-4E25-930B-2CDEE64DB1DE}"/>
    <cellStyle name="Normal 6 4 2 2 2 2 2 2" xfId="7297" xr:uid="{4EABE8D6-587B-47EA-9C65-F699B93AAA14}"/>
    <cellStyle name="Normal 6 4 2 2 2 2 3" xfId="5558" xr:uid="{D45314BE-CA91-47B6-9D0E-9B28AFC5CED8}"/>
    <cellStyle name="Normal 6 4 2 2 2 3" xfId="2993" xr:uid="{39D0B77A-3F3E-4D71-9BAC-7A1A0C708885}"/>
    <cellStyle name="Normal 6 4 2 2 2 3 2" xfId="6428" xr:uid="{BA10D89C-0479-4093-9CDE-3613CAAEFB81}"/>
    <cellStyle name="Normal 6 4 2 2 2 4" xfId="4688" xr:uid="{4AFEA889-ADEA-471C-9714-F8D32B3F70EB}"/>
    <cellStyle name="Normal 6 4 2 2 3" xfId="1855" xr:uid="{B3F8708F-775B-408A-B4F0-1582FC1965BF}"/>
    <cellStyle name="Normal 6 4 2 2 3 2" xfId="3413" xr:uid="{C286014B-87BB-4BD2-A867-19CF59B95793}"/>
    <cellStyle name="Normal 6 4 2 2 3 2 2" xfId="6862" xr:uid="{FF2198CD-10F2-44FB-BE5C-F45E36586C62}"/>
    <cellStyle name="Normal 6 4 2 2 3 3" xfId="5123" xr:uid="{537C7045-65A0-4A10-AA8B-5124E26C218C}"/>
    <cellStyle name="Normal 6 4 2 2 4" xfId="985" xr:uid="{7A313FAC-CBC1-478C-9DEB-DF7986D97DA9}"/>
    <cellStyle name="Normal 6 4 2 2 4 2" xfId="5993" xr:uid="{B320136F-356B-44D1-8925-B8D3463DD1FB}"/>
    <cellStyle name="Normal 6 4 2 2 5" xfId="4255" xr:uid="{A10F98B5-68B7-45A2-8BD5-E65D479C8CBB}"/>
    <cellStyle name="Normal 6 4 2 3" xfId="1191" xr:uid="{537E065C-069D-48E0-8E8B-2A3BE0D23ACC}"/>
    <cellStyle name="Normal 6 4 2 3 2" xfId="2339" xr:uid="{46B32A66-E4FE-441B-B94C-53BA82936E6E}"/>
    <cellStyle name="Normal 6 4 2 3 2 2" xfId="3635" xr:uid="{8A07CD22-63CE-4033-BBB8-115FC5023B3D}"/>
    <cellStyle name="Normal 6 4 2 3 2 2 2" xfId="7090" xr:uid="{10121AA2-841D-4FD1-84AE-87DA342960FF}"/>
    <cellStyle name="Normal 6 4 2 3 2 3" xfId="5351" xr:uid="{E6D185BF-80EB-4289-A920-CA048B672D48}"/>
    <cellStyle name="Normal 6 4 2 3 3" xfId="2788" xr:uid="{EF40A2E1-C562-4A88-B361-AA87B402E253}"/>
    <cellStyle name="Normal 6 4 2 3 3 2" xfId="6221" xr:uid="{8E492F45-64D3-4319-9EDA-2E8C98EF694B}"/>
    <cellStyle name="Normal 6 4 2 3 4" xfId="4481" xr:uid="{DCAFD9AF-4185-4D21-A97C-A45F3B25B427}"/>
    <cellStyle name="Normal 6 4 2 4" xfId="1649" xr:uid="{A7347C6C-DB4D-4D4D-B14F-6A4DE5727873}"/>
    <cellStyle name="Normal 6 4 2 4 2" xfId="3215" xr:uid="{C0C416AD-7B8D-41DF-BF18-3DCC3091BDE0}"/>
    <cellStyle name="Normal 6 4 2 4 2 2" xfId="6655" xr:uid="{B2D3880F-7C91-4333-8653-64D558875C2C}"/>
    <cellStyle name="Normal 6 4 2 4 3" xfId="4916" xr:uid="{6B4354D0-A8E6-41E6-98F2-9D7975CB8AD0}"/>
    <cellStyle name="Normal 6 4 2 5" xfId="778" xr:uid="{6E3B3392-03C6-44E2-B7E5-BB268D67F972}"/>
    <cellStyle name="Normal 6 4 2 5 2" xfId="5786" xr:uid="{70C182E9-E6BB-4E88-B63D-15B007FD4B0D}"/>
    <cellStyle name="Normal 6 4 2 6" xfId="4059" xr:uid="{72BB5C5D-3CB7-4D48-A719-705D66123114}"/>
    <cellStyle name="Normal 6 4 3" xfId="439" xr:uid="{B39FBCEE-05AC-4726-AD02-CDFC7C2502EA}"/>
    <cellStyle name="Normal 6 4 3 2" xfId="1299" xr:uid="{9FC2FCFC-5E2E-4B72-998D-6A4889952722}"/>
    <cellStyle name="Normal 6 4 3 2 2" xfId="2440" xr:uid="{D0ADB59D-1378-459E-AA38-8D19394C9E36}"/>
    <cellStyle name="Normal 6 4 3 2 2 2" xfId="3741" xr:uid="{BBCDF510-935A-45ED-9E06-C25305CB6AD0}"/>
    <cellStyle name="Normal 6 4 3 2 2 2 2" xfId="7198" xr:uid="{C059AE3C-BC2B-4E1F-B3C6-69E68F674491}"/>
    <cellStyle name="Normal 6 4 3 2 2 3" xfId="5459" xr:uid="{0DA01230-7D8B-41FE-AE67-19AAFB0FE47A}"/>
    <cellStyle name="Normal 6 4 3 2 3" xfId="2894" xr:uid="{4DA78749-EE21-4275-9E15-F81EDE612100}"/>
    <cellStyle name="Normal 6 4 3 2 3 2" xfId="6329" xr:uid="{9D12C5A2-E1CF-42AF-96C1-D09B51AF4A3B}"/>
    <cellStyle name="Normal 6 4 3 2 4" xfId="4589" xr:uid="{FC8FF95D-9A88-49F6-A0CC-A786D103B537}"/>
    <cellStyle name="Normal 6 4 3 3" xfId="1756" xr:uid="{330F4796-58B9-4C48-90A8-A3463D2B946F}"/>
    <cellStyle name="Normal 6 4 3 3 2" xfId="3319" xr:uid="{5F520A67-20BE-4AF8-A97C-63B92F4A955E}"/>
    <cellStyle name="Normal 6 4 3 3 2 2" xfId="6763" xr:uid="{B85D1B55-E7C5-44A2-834B-885BC3CC2C83}"/>
    <cellStyle name="Normal 6 4 3 3 3" xfId="5024" xr:uid="{CA6514A8-EA7A-4F6A-95D7-3AD9B872D3D3}"/>
    <cellStyle name="Normal 6 4 3 4" xfId="886" xr:uid="{CCAEE33E-72F5-4393-AAE2-56576DA78D47}"/>
    <cellStyle name="Normal 6 4 3 4 2" xfId="5894" xr:uid="{92B2184B-6ABF-41F2-A6E2-18D5AE714918}"/>
    <cellStyle name="Normal 6 4 3 5" xfId="4161" xr:uid="{16484B12-5FF9-4E09-B205-D70E2C35C694}"/>
    <cellStyle name="Normal 6 4 4" xfId="1091" xr:uid="{779DCCD7-4643-4ADE-BC56-0CC7FEA03A41}"/>
    <cellStyle name="Normal 6 4 4 2" xfId="2254" xr:uid="{6A3E212B-792A-4CBD-9255-41A46AB247D4}"/>
    <cellStyle name="Normal 6 4 4 2 2" xfId="3536" xr:uid="{15BCDD31-1458-49ED-A4D3-99C62DFF792D}"/>
    <cellStyle name="Normal 6 4 4 2 2 2" xfId="6990" xr:uid="{9F07F121-CE72-4D2C-A4AF-91F183711A8B}"/>
    <cellStyle name="Normal 6 4 4 2 3" xfId="5251" xr:uid="{265055AD-DA58-41B5-B65B-D5C7CAB69C9F}"/>
    <cellStyle name="Normal 6 4 4 3" xfId="2689" xr:uid="{D566E080-91D4-45E8-883E-560674D9500C}"/>
    <cellStyle name="Normal 6 4 4 3 2" xfId="6121" xr:uid="{CBF8CDF4-2D73-4C40-9111-DAEC0BFCFC9B}"/>
    <cellStyle name="Normal 6 4 4 4" xfId="4381" xr:uid="{EC0B4110-D0E8-4149-A948-7CD1D3F386A0}"/>
    <cellStyle name="Normal 6 4 5" xfId="1550" xr:uid="{A96ACE91-A6AE-4FEC-8449-E37AD44D3316}"/>
    <cellStyle name="Normal 6 4 5 2" xfId="3119" xr:uid="{569523D8-BA4F-4934-9644-ED4A2838E150}"/>
    <cellStyle name="Normal 6 4 5 2 2" xfId="6555" xr:uid="{BA2C4812-D56C-4B2E-8F22-7A6E40FC3111}"/>
    <cellStyle name="Normal 6 4 5 3" xfId="4816" xr:uid="{7EC234B4-E245-4447-B8CA-7C619E3A0502}"/>
    <cellStyle name="Normal 6 4 6" xfId="678" xr:uid="{8FE129A1-4815-4C52-9209-4B06B5887037}"/>
    <cellStyle name="Normal 6 4 6 2" xfId="5686" xr:uid="{140FC5BF-CC3D-4704-AC66-FE59E3409229}"/>
    <cellStyle name="Normal 6 4 7" xfId="3964" xr:uid="{C4FC68C4-F5D0-4205-B9C5-85D7981535A9}"/>
    <cellStyle name="Normal 6 5" xfId="231" xr:uid="{FD7DF59A-507A-45F4-9CBE-6A5B915AB450}"/>
    <cellStyle name="Normal 6 5 2" xfId="330" xr:uid="{CFBE0C2C-1C63-46B9-B1DA-26437A1EB252}"/>
    <cellStyle name="Normal 6 5 2 2" xfId="540" xr:uid="{F4DDC3DB-F4B7-4ABD-BEDA-ED265FF635F3}"/>
    <cellStyle name="Normal 6 5 2 2 2" xfId="1400" xr:uid="{BCEC29FD-1283-4381-B09F-142C3ADFB67A}"/>
    <cellStyle name="Normal 6 5 2 2 2 2" xfId="2536" xr:uid="{B42E3862-CD2F-43D9-A96E-7476FB8DC644}"/>
    <cellStyle name="Normal 6 5 2 2 2 2 2" xfId="3842" xr:uid="{FD62B052-34EF-480B-97C1-014B101B87A6}"/>
    <cellStyle name="Normal 6 5 2 2 2 2 2 2" xfId="7299" xr:uid="{4DAD9CCE-2C76-4CAF-9E90-E1D3BB69F44E}"/>
    <cellStyle name="Normal 6 5 2 2 2 2 3" xfId="5560" xr:uid="{116D4DCA-E5A9-4374-8389-2A75FDE8EC13}"/>
    <cellStyle name="Normal 6 5 2 2 2 3" xfId="2995" xr:uid="{945D0559-C0CF-4206-8529-AA6EEF400D39}"/>
    <cellStyle name="Normal 6 5 2 2 2 3 2" xfId="6430" xr:uid="{EEFD8C22-B7C0-4C89-B95B-2B7EECFA31F8}"/>
    <cellStyle name="Normal 6 5 2 2 2 4" xfId="4690" xr:uid="{58F7FBB4-B64F-41CB-BCAA-B9E00915D2CC}"/>
    <cellStyle name="Normal 6 5 2 2 3" xfId="1857" xr:uid="{BD02ED01-E181-42BF-9CB5-23AC7C2B1ED6}"/>
    <cellStyle name="Normal 6 5 2 2 3 2" xfId="3415" xr:uid="{338D9C4B-A07D-4EE0-92EF-0A20E0EAE2C3}"/>
    <cellStyle name="Normal 6 5 2 2 3 2 2" xfId="6864" xr:uid="{273A080E-E510-4DC8-A61F-4EC3294EE365}"/>
    <cellStyle name="Normal 6 5 2 2 3 3" xfId="5125" xr:uid="{10C2BA7C-A8FE-4654-B294-15D0065C445A}"/>
    <cellStyle name="Normal 6 5 2 2 4" xfId="987" xr:uid="{BEBE1568-628C-4A85-8DB2-5CA8FC60153F}"/>
    <cellStyle name="Normal 6 5 2 2 4 2" xfId="5995" xr:uid="{FA9D9CEC-9247-40EF-A35D-EE85BF1E2BE2}"/>
    <cellStyle name="Normal 6 5 2 2 5" xfId="4257" xr:uid="{F8308C2A-334A-4ECF-A9C8-6F17532CC246}"/>
    <cellStyle name="Normal 6 5 2 3" xfId="1193" xr:uid="{2AB16976-7586-42E7-A394-F0B703928398}"/>
    <cellStyle name="Normal 6 5 2 3 2" xfId="2340" xr:uid="{1250F2B6-2BB5-41B5-B9CA-F8DED17B9097}"/>
    <cellStyle name="Normal 6 5 2 3 2 2" xfId="3637" xr:uid="{A1BBDE1B-B1C0-4F34-9C7E-3199B83B589A}"/>
    <cellStyle name="Normal 6 5 2 3 2 2 2" xfId="7092" xr:uid="{9D1C6B4C-9296-41D7-910F-6E48A3B8D6AB}"/>
    <cellStyle name="Normal 6 5 2 3 2 3" xfId="5353" xr:uid="{27CA722E-3A77-45D3-9ECC-493B0B3EA146}"/>
    <cellStyle name="Normal 6 5 2 3 3" xfId="2790" xr:uid="{E270D5DB-EB96-4436-9E0D-C7B495E63293}"/>
    <cellStyle name="Normal 6 5 2 3 3 2" xfId="6223" xr:uid="{EF991BF1-8A74-4EE0-9C9D-40BE55B5A14B}"/>
    <cellStyle name="Normal 6 5 2 3 4" xfId="4483" xr:uid="{4523C50E-3520-47ED-B450-BA0ECE598767}"/>
    <cellStyle name="Normal 6 5 2 4" xfId="1650" xr:uid="{031D979B-1C3D-416B-8D9E-41F5A7E69D1C}"/>
    <cellStyle name="Normal 6 5 2 4 2" xfId="3217" xr:uid="{1EF3B471-4721-423A-A299-CCD0AC4B201A}"/>
    <cellStyle name="Normal 6 5 2 4 2 2" xfId="6657" xr:uid="{B64468E4-EC8E-4BD3-A74B-1AEF29D32B17}"/>
    <cellStyle name="Normal 6 5 2 4 3" xfId="4918" xr:uid="{EF11FEEA-5166-497B-B177-D29E7C1866C5}"/>
    <cellStyle name="Normal 6 5 2 5" xfId="780" xr:uid="{3B2A1B90-71AC-41E2-9A39-4D8992494022}"/>
    <cellStyle name="Normal 6 5 2 5 2" xfId="5788" xr:uid="{ACB55D32-341F-469C-9EBF-D43D4C36D10E}"/>
    <cellStyle name="Normal 6 5 2 6" xfId="4061" xr:uid="{F2EE5CAF-B27B-4CFC-A9A0-6A47A5874AD7}"/>
    <cellStyle name="Normal 6 5 3" xfId="440" xr:uid="{A22FC240-4544-49FF-BC7D-4B548D03B53C}"/>
    <cellStyle name="Normal 6 5 3 2" xfId="1300" xr:uid="{4188B55A-7729-451F-8694-7ADDE1E293DD}"/>
    <cellStyle name="Normal 6 5 3 2 2" xfId="2441" xr:uid="{5B89B15F-71A4-4368-BF99-BF97CD337EC1}"/>
    <cellStyle name="Normal 6 5 3 2 2 2" xfId="3742" xr:uid="{E5C9A58A-2D10-44C7-B707-DF0C28A1C900}"/>
    <cellStyle name="Normal 6 5 3 2 2 2 2" xfId="7199" xr:uid="{E0671FBF-68BA-4C51-8FAD-DAAD1EBE6D19}"/>
    <cellStyle name="Normal 6 5 3 2 2 3" xfId="5460" xr:uid="{B7BA9113-8C37-4D63-87E2-A75149C216AE}"/>
    <cellStyle name="Normal 6 5 3 2 3" xfId="2895" xr:uid="{58F134FA-1C01-4DCA-87A8-366914B02D67}"/>
    <cellStyle name="Normal 6 5 3 2 3 2" xfId="6330" xr:uid="{C64EA6E6-FA47-4714-B7F5-0A6C9D4E66AD}"/>
    <cellStyle name="Normal 6 5 3 2 4" xfId="4590" xr:uid="{D762DDD8-1B7F-4CAF-AFE0-CFB55771AD99}"/>
    <cellStyle name="Normal 6 5 3 3" xfId="1757" xr:uid="{2F471F04-1640-4AAC-A0AA-38ED04005A93}"/>
    <cellStyle name="Normal 6 5 3 3 2" xfId="3320" xr:uid="{F094F746-C3B1-49FF-A924-03248EF8A3E3}"/>
    <cellStyle name="Normal 6 5 3 3 2 2" xfId="6764" xr:uid="{A918EB9F-5BF5-4E45-9DC1-639CCD5D6678}"/>
    <cellStyle name="Normal 6 5 3 3 3" xfId="5025" xr:uid="{2CE2F186-1690-48FA-A934-1844D560C5DC}"/>
    <cellStyle name="Normal 6 5 3 4" xfId="887" xr:uid="{20AA327E-02DF-4743-B516-099B6EC2DFA6}"/>
    <cellStyle name="Normal 6 5 3 4 2" xfId="5895" xr:uid="{E42C5280-8F10-4C84-A21D-D5E0DE656CB1}"/>
    <cellStyle name="Normal 6 5 3 5" xfId="4162" xr:uid="{C35FE136-B61D-4122-88C1-6B4286AC2F1A}"/>
    <cellStyle name="Normal 6 5 4" xfId="1093" xr:uid="{649C589E-7CA1-4403-A73F-A4AC62861EAE}"/>
    <cellStyle name="Normal 6 5 4 2" xfId="2255" xr:uid="{90506D61-F2DB-4589-9AED-601B6B37260A}"/>
    <cellStyle name="Normal 6 5 4 2 2" xfId="3538" xr:uid="{75123DD1-6361-4F2F-BFF7-1FA57C6A6B5F}"/>
    <cellStyle name="Normal 6 5 4 2 2 2" xfId="6992" xr:uid="{8D4B5365-5DC0-4BAC-9F57-6C07DF213F7C}"/>
    <cellStyle name="Normal 6 5 4 2 3" xfId="5253" xr:uid="{62F242E6-4D80-4B4A-9407-FFE494F740BD}"/>
    <cellStyle name="Normal 6 5 4 3" xfId="2691" xr:uid="{21421318-E028-4379-977D-FBC16AF73E87}"/>
    <cellStyle name="Normal 6 5 4 3 2" xfId="6123" xr:uid="{924E9D6C-03C8-4C15-9F4B-FD445E263721}"/>
    <cellStyle name="Normal 6 5 4 4" xfId="4383" xr:uid="{94F9B99E-682E-409D-955B-F3EC18B6ED66}"/>
    <cellStyle name="Normal 6 5 5" xfId="1552" xr:uid="{009D7954-FE2F-48A2-82BC-82E924F151F2}"/>
    <cellStyle name="Normal 6 5 5 2" xfId="3121" xr:uid="{23BC2257-4612-471B-AF79-E9C1DB7AA05F}"/>
    <cellStyle name="Normal 6 5 5 2 2" xfId="6557" xr:uid="{ECCF6B6D-A295-4B6A-BC23-DA6E786BE215}"/>
    <cellStyle name="Normal 6 5 5 3" xfId="4818" xr:uid="{D269A9FC-25C5-4349-8AC6-3CF120BBBC64}"/>
    <cellStyle name="Normal 6 5 6" xfId="680" xr:uid="{A5C736B3-B8F0-4B97-8EEB-5F48B704F915}"/>
    <cellStyle name="Normal 6 5 6 2" xfId="5688" xr:uid="{1E990B47-5A9E-4F8E-AE3B-C0A4702C36E8}"/>
    <cellStyle name="Normal 6 5 7" xfId="3966" xr:uid="{1DE394E0-1598-4942-B7F1-0CDE8DE8EF96}"/>
    <cellStyle name="Normal 6 6" xfId="298" xr:uid="{FE2DC46B-F848-4563-AE24-5142E614ACFA}"/>
    <cellStyle name="Normal 6 6 2" xfId="507" xr:uid="{D20E7FFF-EF16-4097-BDEB-8EBB03739EE1}"/>
    <cellStyle name="Normal 6 6 2 2" xfId="1367" xr:uid="{AB92409C-AA06-4511-81F4-1CDA76E3BEFE}"/>
    <cellStyle name="Normal 6 6 2 2 2" xfId="2504" xr:uid="{CF94E09A-3AD8-42B2-97AF-E379C9AF3628}"/>
    <cellStyle name="Normal 6 6 2 2 2 2" xfId="3809" xr:uid="{873848FA-A5F9-4652-A786-6B3D2857249B}"/>
    <cellStyle name="Normal 6 6 2 2 2 2 2" xfId="7266" xr:uid="{822C6101-E0B9-4B09-9253-C9498E7F9BBD}"/>
    <cellStyle name="Normal 6 6 2 2 2 3" xfId="5527" xr:uid="{65B802FF-6ECA-4530-A473-9EBF448EB8E4}"/>
    <cellStyle name="Normal 6 6 2 2 3" xfId="2962" xr:uid="{E2268CD5-6F9F-47B2-A805-FC3B8139DDB6}"/>
    <cellStyle name="Normal 6 6 2 2 3 2" xfId="6397" xr:uid="{82540627-E62A-4D8D-A941-F64481717554}"/>
    <cellStyle name="Normal 6 6 2 2 4" xfId="4657" xr:uid="{627C7514-BD6F-455C-823C-0CD646A769FE}"/>
    <cellStyle name="Normal 6 6 2 3" xfId="1824" xr:uid="{D25E97A6-A4BF-4B46-B846-7838596BB7A0}"/>
    <cellStyle name="Normal 6 6 2 3 2" xfId="3383" xr:uid="{EDA5B169-4279-4D1F-80A1-C10524AE6298}"/>
    <cellStyle name="Normal 6 6 2 3 2 2" xfId="6831" xr:uid="{BCAAD57D-0687-42AE-8514-8E2600C0DDB3}"/>
    <cellStyle name="Normal 6 6 2 3 3" xfId="5092" xr:uid="{0673CFA7-9C25-48BB-9CA1-57934D18C074}"/>
    <cellStyle name="Normal 6 6 2 4" xfId="954" xr:uid="{C5D128A3-2094-4EBF-816F-C006079E73F6}"/>
    <cellStyle name="Normal 6 6 2 4 2" xfId="5962" xr:uid="{78595C00-B338-47CE-8A35-8246571F31CD}"/>
    <cellStyle name="Normal 6 6 2 5" xfId="4225" xr:uid="{21AB17FA-FDB7-4884-8778-BA45A1806BA0}"/>
    <cellStyle name="Normal 6 6 3" xfId="1160" xr:uid="{321E7853-BFDB-4D1A-9AB7-AEE619C66832}"/>
    <cellStyle name="Normal 6 6 3 2" xfId="2315" xr:uid="{BF8F9F7B-5113-450C-8F45-CCD5CE0B2AB2}"/>
    <cellStyle name="Normal 6 6 3 2 2" xfId="3604" xr:uid="{11FB7342-FED6-466D-ADAA-BB8DFC4AEA4A}"/>
    <cellStyle name="Normal 6 6 3 2 2 2" xfId="7059" xr:uid="{16BF12D0-F5B9-4996-A27F-A9667E3B8158}"/>
    <cellStyle name="Normal 6 6 3 2 3" xfId="5320" xr:uid="{F74E8328-C023-401F-8959-CB127A2468C4}"/>
    <cellStyle name="Normal 6 6 3 3" xfId="2757" xr:uid="{7CB56A02-CF32-41FC-9AC7-DD39684981B9}"/>
    <cellStyle name="Normal 6 6 3 3 2" xfId="6190" xr:uid="{FA8ABAC8-56D2-40A9-85BD-482C5D6E899C}"/>
    <cellStyle name="Normal 6 6 3 4" xfId="4450" xr:uid="{E7C9B48F-8479-443C-9A93-38864AEFE583}"/>
    <cellStyle name="Normal 6 6 4" xfId="1520" xr:uid="{05B3077F-A56B-43E4-82BD-A825124464FF}"/>
    <cellStyle name="Normal 6 6 4 2" xfId="3185" xr:uid="{BC9FBA49-A6DD-4B5E-9635-292A3AFA2763}"/>
    <cellStyle name="Normal 6 6 4 2 2" xfId="6624" xr:uid="{3493F34E-94F4-4596-9E64-5E711FCCB588}"/>
    <cellStyle name="Normal 6 6 4 3" xfId="4885" xr:uid="{A874769E-C96D-47B3-A6FF-E5E789A9D3D2}"/>
    <cellStyle name="Normal 6 6 5" xfId="747" xr:uid="{082675CC-1D20-4D97-B278-ADD7A1CF8324}"/>
    <cellStyle name="Normal 6 6 5 2" xfId="5755" xr:uid="{BB6993FC-CFBC-454F-82D7-D573B1DAD943}"/>
    <cellStyle name="Normal 6 6 6" xfId="4029" xr:uid="{56384275-F526-44DB-AC5C-B9C27B2506AB}"/>
    <cellStyle name="Normal 6 7" xfId="335" xr:uid="{E77968BA-4A97-4641-BAEF-552EF4853A53}"/>
    <cellStyle name="Normal 6 7 2" xfId="1200" xr:uid="{D1AAD0CB-12F7-49A5-BF2E-5F0D68046022}"/>
    <cellStyle name="Normal 6 7 2 2" xfId="2347" xr:uid="{33C2CB1E-0126-4166-9F6B-D1116F47D6FE}"/>
    <cellStyle name="Normal 6 7 2 2 2" xfId="3644" xr:uid="{9B0C7C4A-FB1B-483F-BF9A-B6C4BF185421}"/>
    <cellStyle name="Normal 6 7 2 2 2 2" xfId="7099" xr:uid="{A2051608-5245-42B0-ACF2-35F699537B4B}"/>
    <cellStyle name="Normal 6 7 2 2 3" xfId="5360" xr:uid="{06653F8A-353A-42FE-A508-FFF1051263F0}"/>
    <cellStyle name="Normal 6 7 2 3" xfId="2797" xr:uid="{A9CC0146-275F-4AA5-9177-79375BCC7ACD}"/>
    <cellStyle name="Normal 6 7 2 3 2" xfId="6230" xr:uid="{3524FDCB-DA18-483C-9CB2-01CD785D45AD}"/>
    <cellStyle name="Normal 6 7 2 4" xfId="4490" xr:uid="{E7681AEB-59CA-4534-A618-2A9105697D8E}"/>
    <cellStyle name="Normal 6 7 3" xfId="1655" xr:uid="{A8C852B1-BC7D-47D0-8E82-31427EBEA5B6}"/>
    <cellStyle name="Normal 6 7 3 2" xfId="3224" xr:uid="{93C22248-F89D-4230-8BA7-FE46BF4BA3C2}"/>
    <cellStyle name="Normal 6 7 3 2 2" xfId="6664" xr:uid="{B4583445-29FF-4530-8B97-7A3557860FDE}"/>
    <cellStyle name="Normal 6 7 3 3" xfId="4925" xr:uid="{B6250CB0-9CC8-4ABC-84D1-915D1623A4F1}"/>
    <cellStyle name="Normal 6 7 4" xfId="787" xr:uid="{06A99A1B-DA5E-4592-90FB-32DCAD7CE2A2}"/>
    <cellStyle name="Normal 6 7 4 2" xfId="5795" xr:uid="{CCBABE05-4ADB-4ED0-A264-574D7599AF5C}"/>
    <cellStyle name="Normal 6 7 5" xfId="4068" xr:uid="{032BFE68-A4B0-4943-9525-17BC43ECAB86}"/>
    <cellStyle name="Normal 6 8" xfId="1061" xr:uid="{997EF392-DE78-4D2C-B17C-3301F5A8F156}"/>
    <cellStyle name="Normal 6 8 2" xfId="2232" xr:uid="{0C8740D1-E5B6-41F0-8D00-DBF3931082E9}"/>
    <cellStyle name="Normal 6 8 2 2" xfId="3506" xr:uid="{D35AF6A0-E5DB-45EA-A27B-7B2897B711F3}"/>
    <cellStyle name="Normal 6 8 2 2 2" xfId="6959" xr:uid="{9F8F9848-D6E0-4651-B624-6A48AB8BDC21}"/>
    <cellStyle name="Normal 6 8 2 3" xfId="5220" xr:uid="{7F83F1CD-7386-4E9C-83B0-95CEC34A2896}"/>
    <cellStyle name="Normal 6 8 3" xfId="2662" xr:uid="{088DDBD8-FD07-4588-B254-313F1EC915FF}"/>
    <cellStyle name="Normal 6 8 3 2" xfId="6090" xr:uid="{3ACFBCF4-E882-4E63-9FE7-DD231F015C85}"/>
    <cellStyle name="Normal 6 8 4" xfId="4351" xr:uid="{B9048536-34E6-4243-8C42-A8EC97A0EB6F}"/>
    <cellStyle name="Normal 6 9" xfId="1432" xr:uid="{5A4397CE-20BD-4A85-9D71-26F570C85DA1}"/>
    <cellStyle name="Normal 6 9 2" xfId="3090" xr:uid="{7E9EB7B6-0ECE-4A7B-9D3D-39D0F706B21E}"/>
    <cellStyle name="Normal 6 9 2 2" xfId="6525" xr:uid="{0396815A-035C-4CD9-955F-6008D9796926}"/>
    <cellStyle name="Normal 6 9 3" xfId="4785" xr:uid="{EC84F6D2-3954-478B-A3C3-533E38007314}"/>
    <cellStyle name="Normal 6 9 4" xfId="2144" xr:uid="{952172CD-AD9E-4F33-AFC8-A10061FB1092}"/>
    <cellStyle name="Normal 7" xfId="205" xr:uid="{0FD89EE6-8307-41FE-9AC6-0C2021AEEB7B}"/>
    <cellStyle name="Normal 7 2" xfId="295" xr:uid="{07ADE535-E401-4077-AF0F-02E863F4745E}"/>
    <cellStyle name="Normal 7 2 2" xfId="504" xr:uid="{DE55D141-E92F-4F77-ABA2-887F14C2CBA9}"/>
    <cellStyle name="Normal 7 2 2 2" xfId="1364" xr:uid="{EB25D2F5-1D36-4D8D-B6D8-BA2D9F6F0816}"/>
    <cellStyle name="Normal 7 2 2 2 2" xfId="2501" xr:uid="{E09987F6-918A-444E-B809-B8491D4D406A}"/>
    <cellStyle name="Normal 7 2 2 2 2 2" xfId="3806" xr:uid="{D3AEAE18-3AD2-438F-939D-104E929DD9EC}"/>
    <cellStyle name="Normal 7 2 2 2 2 2 2" xfId="7263" xr:uid="{E56D20E7-7E47-4957-B803-E32504904358}"/>
    <cellStyle name="Normal 7 2 2 2 2 3" xfId="5524" xr:uid="{C5CF74AF-94F5-4924-AD59-6321C8C2C121}"/>
    <cellStyle name="Normal 7 2 2 2 3" xfId="2959" xr:uid="{93B1DB49-E9D3-4866-BE33-4499F43CB95A}"/>
    <cellStyle name="Normal 7 2 2 2 3 2" xfId="6394" xr:uid="{439FA5F6-9E30-46AE-8331-C16A6959DBEC}"/>
    <cellStyle name="Normal 7 2 2 2 4" xfId="4654" xr:uid="{81AC68DA-D2D4-433E-862A-9E5FFC570E55}"/>
    <cellStyle name="Normal 7 2 2 3" xfId="1821" xr:uid="{2E39395D-46FF-4819-9715-482798C200E8}"/>
    <cellStyle name="Normal 7 2 2 3 2" xfId="3380" xr:uid="{4F6EA3AF-C929-4E7F-B091-1E1D1D9D3657}"/>
    <cellStyle name="Normal 7 2 2 3 2 2" xfId="6828" xr:uid="{024E938D-BB83-4D05-A0C4-EE8E0B7CA98D}"/>
    <cellStyle name="Normal 7 2 2 3 3" xfId="5089" xr:uid="{5ACBA006-91C3-47FE-8E19-897B5F4F0836}"/>
    <cellStyle name="Normal 7 2 2 4" xfId="951" xr:uid="{728108A0-2A44-4F06-A714-7CCA678CB0C9}"/>
    <cellStyle name="Normal 7 2 2 4 2" xfId="5959" xr:uid="{D03CE580-C8BA-4BD6-B9D1-A6381775BEDE}"/>
    <cellStyle name="Normal 7 2 2 5" xfId="4222" xr:uid="{8C6596D1-FE98-48A8-877E-ADF0E73D53A6}"/>
    <cellStyle name="Normal 7 2 3" xfId="1157" xr:uid="{C7D30717-D344-4AAC-B520-AD6A84F996BE}"/>
    <cellStyle name="Normal 7 2 3 2" xfId="2313" xr:uid="{3583081F-2279-4A0E-9C56-EF01AA93645B}"/>
    <cellStyle name="Normal 7 2 3 2 2" xfId="3601" xr:uid="{13124C69-2531-417B-976D-7C8CA44ED567}"/>
    <cellStyle name="Normal 7 2 3 2 2 2" xfId="7056" xr:uid="{4F5EF985-B236-4265-8F00-1ABDEA03F408}"/>
    <cellStyle name="Normal 7 2 3 2 3" xfId="5317" xr:uid="{2DD09562-8759-445C-A1C8-772B33C8CC2F}"/>
    <cellStyle name="Normal 7 2 3 3" xfId="2754" xr:uid="{958E01D8-E6A3-4B64-9464-A37C9F89281C}"/>
    <cellStyle name="Normal 7 2 3 3 2" xfId="6187" xr:uid="{0972D07B-8B27-4BFF-87F9-BDD245C0CE36}"/>
    <cellStyle name="Normal 7 2 3 4" xfId="4447" xr:uid="{1EDAC679-3BDF-4BFA-A183-A1143738333A}"/>
    <cellStyle name="Normal 7 2 4" xfId="1631" xr:uid="{BB37AF05-4B17-446A-9A1F-81AB8D9481DB}"/>
    <cellStyle name="Normal 7 2 4 2" xfId="3182" xr:uid="{A876B6F0-C8DA-43D8-970A-7737F098A1F5}"/>
    <cellStyle name="Normal 7 2 4 2 2" xfId="6621" xr:uid="{B40CED18-3E24-4963-93CF-D4807B42374E}"/>
    <cellStyle name="Normal 7 2 4 3" xfId="4882" xr:uid="{404315E6-B5A0-4EED-A08D-87D77B94F309}"/>
    <cellStyle name="Normal 7 2 5" xfId="744" xr:uid="{F01602A5-F4A2-4A7D-982C-57D066B655B2}"/>
    <cellStyle name="Normal 7 2 5 2" xfId="5752" xr:uid="{3CC92D85-790E-48E8-B4C1-01578A17A04E}"/>
    <cellStyle name="Normal 7 2 6" xfId="4026" xr:uid="{F7BC36E1-EC63-4F4B-8061-AE6BF4F42BE2}"/>
    <cellStyle name="Normal 7 3" xfId="411" xr:uid="{13666CDF-0BEB-4A38-AB02-7E4BDB6ABBE6}"/>
    <cellStyle name="Normal 7 3 2" xfId="1271" xr:uid="{EA69DEC3-BA3C-4AD5-9765-43B6D2FEEE65}"/>
    <cellStyle name="Normal 7 3 2 2" xfId="2413" xr:uid="{281AFE37-6DD8-4D14-8E27-C2B9F034D426}"/>
    <cellStyle name="Normal 7 3 2 2 2" xfId="3713" xr:uid="{231F6A83-789D-424F-9808-E3400C418EF9}"/>
    <cellStyle name="Normal 7 3 2 2 2 2" xfId="7170" xr:uid="{9F3212F7-44AB-4942-B263-595655BC60B1}"/>
    <cellStyle name="Normal 7 3 2 2 3" xfId="5431" xr:uid="{08ED9944-7C47-4612-9ACD-58B130C07972}"/>
    <cellStyle name="Normal 7 3 2 3" xfId="2866" xr:uid="{90738352-043C-48F2-A92C-A81D2AD3D218}"/>
    <cellStyle name="Normal 7 3 2 3 2" xfId="6301" xr:uid="{FE893317-EB6A-4024-A814-E66993B9225E}"/>
    <cellStyle name="Normal 7 3 2 4" xfId="4561" xr:uid="{4F35F8A2-E621-435B-B20E-EAEC195802BF}"/>
    <cellStyle name="Normal 7 3 3" xfId="1728" xr:uid="{CE622FA1-03AA-478A-AC3E-4F92DA8395EC}"/>
    <cellStyle name="Normal 7 3 3 2" xfId="3292" xr:uid="{B4A4051E-AF62-4B3E-8EE1-DBBEF7157185}"/>
    <cellStyle name="Normal 7 3 3 2 2" xfId="6735" xr:uid="{70643562-A755-42D1-8EA7-717652CFDFC9}"/>
    <cellStyle name="Normal 7 3 3 3" xfId="4996" xr:uid="{278CD48F-13DD-4F68-A103-41BD0FDCF2E7}"/>
    <cellStyle name="Normal 7 3 4" xfId="858" xr:uid="{864C3275-81EE-4667-9CFB-81A528D109B7}"/>
    <cellStyle name="Normal 7 3 4 2" xfId="5866" xr:uid="{766BE024-6353-43E9-9530-EF2D49170F0C}"/>
    <cellStyle name="Normal 7 3 5" xfId="4134" xr:uid="{2B816864-1EEC-415F-A60D-D29A7D75B390}"/>
    <cellStyle name="Normal 7 4" xfId="1058" xr:uid="{1188E92F-D210-43D0-B02C-3E5DF3205873}"/>
    <cellStyle name="Normal 7 4 2" xfId="2230" xr:uid="{5963801F-4144-4001-A31D-97BF3567B218}"/>
    <cellStyle name="Normal 7 4 2 2" xfId="3503" xr:uid="{B4A84D19-4A99-4DAA-86E7-5BDB311151C5}"/>
    <cellStyle name="Normal 7 4 2 2 2" xfId="6956" xr:uid="{BD29B70B-05DC-4EB9-8F60-000029CC1330}"/>
    <cellStyle name="Normal 7 4 2 3" xfId="5217" xr:uid="{21710A55-0033-4782-B082-E8A20598FCAE}"/>
    <cellStyle name="Normal 7 4 3" xfId="2660" xr:uid="{D3F2C5C3-F758-4D0A-A70C-D1C4F9EE8347}"/>
    <cellStyle name="Normal 7 4 3 2" xfId="6087" xr:uid="{283C6112-F3DB-4308-A48D-4B6C227F442E}"/>
    <cellStyle name="Normal 7 4 4" xfId="4348" xr:uid="{81A8B981-6729-4F6F-A160-ACEEBFEE3795}"/>
    <cellStyle name="Normal 7 5" xfId="1518" xr:uid="{B65E2FCE-62CE-401B-B176-017B5E64ACFD}"/>
    <cellStyle name="Normal 7 5 2" xfId="3087" xr:uid="{17EA5D39-866D-43B9-9031-C614ACD89AF9}"/>
    <cellStyle name="Normal 7 5 2 2" xfId="6522" xr:uid="{D063ACA6-2303-42CB-8FFA-0D4DB9717E81}"/>
    <cellStyle name="Normal 7 5 3" xfId="4782" xr:uid="{FF7ED000-50BA-4520-A337-5E9B4E6161E4}"/>
    <cellStyle name="Normal 7 6" xfId="644" xr:uid="{6F8BEBD9-D14D-49CD-8257-78819A782243}"/>
    <cellStyle name="Normal 7 6 2" xfId="5652" xr:uid="{3EAD654E-01B5-4C83-BDAD-D62919045D6D}"/>
    <cellStyle name="Normal 7 7" xfId="3935" xr:uid="{D2C9DBE3-234C-490E-91BB-8D2975FB6D63}"/>
    <cellStyle name="Normal 8" xfId="210" xr:uid="{0EB7D577-7C95-4894-ADBC-7D62F4AF2B03}"/>
    <cellStyle name="Normal 8 2" xfId="304" xr:uid="{8D9059B6-DC6B-4D88-B821-353B9A6AF16B}"/>
    <cellStyle name="Normal 8 2 2" xfId="513" xr:uid="{045BF8D7-454A-427B-B8B7-43894ACFC4EA}"/>
    <cellStyle name="Normal 8 2 2 2" xfId="1373" xr:uid="{5E91DED9-30B1-401E-B3A2-5878B6294010}"/>
    <cellStyle name="Normal 8 2 2 2 2" xfId="2510" xr:uid="{518C09AB-44FD-4927-B98A-528227ADA78B}"/>
    <cellStyle name="Normal 8 2 2 2 2 2" xfId="3815" xr:uid="{C00F9F70-31DA-4383-A83C-026ECF605E3C}"/>
    <cellStyle name="Normal 8 2 2 2 2 2 2" xfId="7272" xr:uid="{A3E28822-0D2F-4900-9DB5-5365E43F93B4}"/>
    <cellStyle name="Normal 8 2 2 2 2 3" xfId="5533" xr:uid="{8B928244-EB26-4AE7-A0B7-E2EE0CF112E2}"/>
    <cellStyle name="Normal 8 2 2 2 3" xfId="2968" xr:uid="{B5A0D29A-4B42-4542-A733-8EB107B413A0}"/>
    <cellStyle name="Normal 8 2 2 2 3 2" xfId="6403" xr:uid="{DCD7E071-B5F2-4766-B77B-4525E755D7C0}"/>
    <cellStyle name="Normal 8 2 2 2 4" xfId="4663" xr:uid="{2C4E9EDF-D97B-4396-B369-4712410519D8}"/>
    <cellStyle name="Normal 8 2 2 3" xfId="1830" xr:uid="{0284343D-BB29-477A-82EE-C1A8428A7DBB}"/>
    <cellStyle name="Normal 8 2 2 3 2" xfId="3389" xr:uid="{58940466-08CD-4D8D-B88E-9F06EA553115}"/>
    <cellStyle name="Normal 8 2 2 3 2 2" xfId="6837" xr:uid="{97B24CED-6A3E-476A-A5FB-95ACABFE81A8}"/>
    <cellStyle name="Normal 8 2 2 3 3" xfId="5098" xr:uid="{674A54C5-87DA-41ED-89DD-E7472107406E}"/>
    <cellStyle name="Normal 8 2 2 4" xfId="960" xr:uid="{A7039E90-DFB5-4C42-9E15-74A9AECFE2FE}"/>
    <cellStyle name="Normal 8 2 2 4 2" xfId="5968" xr:uid="{604C17C8-B7AE-4029-B206-29F213ABF92E}"/>
    <cellStyle name="Normal 8 2 2 5" xfId="4231" xr:uid="{6D196DE1-D5CC-494F-B6C7-D636769C2557}"/>
    <cellStyle name="Normal 8 2 3" xfId="1166" xr:uid="{8D9E21B0-EC94-4329-B3CD-A21A26FDB657}"/>
    <cellStyle name="Normal 8 2 3 2" xfId="2319" xr:uid="{65E40788-8E40-4881-B505-B4E817DE8450}"/>
    <cellStyle name="Normal 8 2 3 2 2" xfId="3610" xr:uid="{69EE5119-1E54-45E3-BB90-03B3E86F3404}"/>
    <cellStyle name="Normal 8 2 3 2 2 2" xfId="7065" xr:uid="{C5582552-D1AB-4D94-A97A-68F387841BED}"/>
    <cellStyle name="Normal 8 2 3 2 3" xfId="5326" xr:uid="{C5A778D1-1E81-4A46-981B-284BD43A6657}"/>
    <cellStyle name="Normal 8 2 3 3" xfId="2763" xr:uid="{5F0C00D1-5370-4899-967B-4608613F1EDC}"/>
    <cellStyle name="Normal 8 2 3 3 2" xfId="6196" xr:uid="{27A0B552-5019-46C3-8358-473F7B3AFEF9}"/>
    <cellStyle name="Normal 8 2 3 4" xfId="4456" xr:uid="{D7B6361C-AE83-44F3-8838-327BAF039E87}"/>
    <cellStyle name="Normal 8 2 4" xfId="1525" xr:uid="{2898D0F0-57DA-4A34-BC89-9022A8F0081C}"/>
    <cellStyle name="Normal 8 2 4 2" xfId="3191" xr:uid="{FCCC09B3-3F91-4C87-B61A-34BED1A03197}"/>
    <cellStyle name="Normal 8 2 4 2 2" xfId="6630" xr:uid="{36828321-DF99-4E03-95AC-8D12ADB326DF}"/>
    <cellStyle name="Normal 8 2 4 3" xfId="4891" xr:uid="{CE6DCCF3-04FC-4239-8862-B31C27743341}"/>
    <cellStyle name="Normal 8 2 5" xfId="753" xr:uid="{D3C8AAE3-1B57-4E08-A042-539D9E7F58AE}"/>
    <cellStyle name="Normal 8 2 5 2" xfId="5761" xr:uid="{AC37F4C8-A819-49A8-877F-5C7034A4A5E5}"/>
    <cellStyle name="Normal 8 2 6" xfId="4035" xr:uid="{98EF6389-5C3C-4625-9B8D-7ABBC73C7B6F}"/>
    <cellStyle name="Normal 8 3" xfId="415" xr:uid="{AF30A294-02F4-46F3-BAAA-B777D00115F2}"/>
    <cellStyle name="Normal 8 3 2" xfId="1275" xr:uid="{E92EA8A3-7B40-4254-A3FF-5C1B93284727}"/>
    <cellStyle name="Normal 8 3 2 2" xfId="2417" xr:uid="{9F83AEDB-D0EA-4632-AD43-6CBFCA440FDA}"/>
    <cellStyle name="Normal 8 3 2 2 2" xfId="3717" xr:uid="{510F4A22-3500-4962-9CA5-56CB1520B49F}"/>
    <cellStyle name="Normal 8 3 2 2 2 2" xfId="7174" xr:uid="{BB46797E-C379-4F56-AB1E-2607B04B0B5C}"/>
    <cellStyle name="Normal 8 3 2 2 3" xfId="5435" xr:uid="{2FE3BF74-A5CF-48DE-92BB-1E04F6A96C0C}"/>
    <cellStyle name="Normal 8 3 2 3" xfId="2870" xr:uid="{9E6F48B7-0898-4B10-A152-3F265E065A1D}"/>
    <cellStyle name="Normal 8 3 2 3 2" xfId="6305" xr:uid="{45DCBB4E-9948-448F-8C06-823B51656078}"/>
    <cellStyle name="Normal 8 3 2 4" xfId="4565" xr:uid="{87557D69-1BB3-4BF1-8AE2-B5F8F21E5259}"/>
    <cellStyle name="Normal 8 3 3" xfId="1732" xr:uid="{861622B8-30C2-4633-A38E-1C3B67BAC97D}"/>
    <cellStyle name="Normal 8 3 3 2" xfId="3296" xr:uid="{61D22DBF-9AB9-463D-931D-5C42B67B5BAA}"/>
    <cellStyle name="Normal 8 3 3 2 2" xfId="6739" xr:uid="{73435ED4-14C4-48E1-A5F0-40AF5775E154}"/>
    <cellStyle name="Normal 8 3 3 3" xfId="5000" xr:uid="{5CBFD9FF-A019-4718-A902-9FC37F1F73EE}"/>
    <cellStyle name="Normal 8 3 4" xfId="862" xr:uid="{70F59A5A-6252-4C12-913C-2A825A5D411C}"/>
    <cellStyle name="Normal 8 3 4 2" xfId="5870" xr:uid="{34913C42-55C0-4C9F-B4E3-CB22E6648C35}"/>
    <cellStyle name="Normal 8 3 5" xfId="4138" xr:uid="{8F98E121-C906-4C99-B25C-28A1DD715E6C}"/>
    <cellStyle name="Normal 8 4" xfId="1066" xr:uid="{E0AFE939-2A82-4719-95DB-3DCEE2DF1D8F}"/>
    <cellStyle name="Normal 8 4 2" xfId="2234" xr:uid="{A7184080-0D1C-4FD5-B028-5E032C78458F}"/>
    <cellStyle name="Normal 8 4 2 2" xfId="3512" xr:uid="{318BC00B-09DC-4942-BF18-069DCFC2CEE0}"/>
    <cellStyle name="Normal 8 4 2 2 2" xfId="6965" xr:uid="{0E0F7CCA-597B-4AAA-BD86-9AFCE23106B1}"/>
    <cellStyle name="Normal 8 4 2 3" xfId="5226" xr:uid="{12F80E13-A097-4827-B097-5176B3A3B3C5}"/>
    <cellStyle name="Normal 8 4 3" xfId="2665" xr:uid="{F1053F8F-CD9E-4AB1-A13A-FFAB0F4C242A}"/>
    <cellStyle name="Normal 8 4 3 2" xfId="6096" xr:uid="{1F5E36B8-1881-4A28-8E67-863DAEDF1383}"/>
    <cellStyle name="Normal 8 4 4" xfId="4356" xr:uid="{012EE695-4174-45D7-B436-C484C9A2B8DC}"/>
    <cellStyle name="Normal 8 5" xfId="1416" xr:uid="{38DC67F5-611F-4914-96D8-A21A251BE036}"/>
    <cellStyle name="Normal 8 5 2" xfId="3096" xr:uid="{18790FE0-0CAE-4816-AEA5-E414FBAB047B}"/>
    <cellStyle name="Normal 8 5 2 2" xfId="6531" xr:uid="{11ED99D0-C23C-42A5-9F81-782A35D6662A}"/>
    <cellStyle name="Normal 8 5 3" xfId="4791" xr:uid="{E35068E6-3548-489D-9EC9-2891BB7CBBBE}"/>
    <cellStyle name="Normal 8 5 4" xfId="2146" xr:uid="{89BBFF13-0F23-47CA-9EB3-02192F849ABD}"/>
    <cellStyle name="Normal 8 6" xfId="653" xr:uid="{502E16AD-36FA-49D8-AEE9-B946B426A8E1}"/>
    <cellStyle name="Normal 8 6 2" xfId="5661" xr:uid="{70E134BB-F5B2-441F-BAF6-E9C5EF27F408}"/>
    <cellStyle name="Normal 8 7" xfId="3940" xr:uid="{78BC8F48-2D84-4733-92DD-55226B077531}"/>
    <cellStyle name="Normal 9" xfId="101" xr:uid="{32912F5D-C46F-4281-9C51-72ABB2331515}"/>
    <cellStyle name="Normal 9 10" xfId="2569" xr:uid="{88434FA0-8C63-4A04-A58F-DD8C181C47E2}"/>
    <cellStyle name="Normal 9 10 2" xfId="5665" xr:uid="{0FEF25BD-766E-4713-811A-9C2193B7F79F}"/>
    <cellStyle name="Normal 9 11" xfId="3875" xr:uid="{1B36E1B7-9481-43A2-9199-98F42CF32EFF}"/>
    <cellStyle name="Normal 9 12" xfId="3943" xr:uid="{D7E080C9-B563-4823-BE3D-60848EC4652F}"/>
    <cellStyle name="Normal 9 2" xfId="308" xr:uid="{3FA2ACF4-7697-43B5-AAE8-629A33906EE1}"/>
    <cellStyle name="Normal 9 2 2" xfId="517" xr:uid="{3E7CA229-CCDE-4589-955C-B7827D193473}"/>
    <cellStyle name="Normal 9 2 2 2" xfId="1377" xr:uid="{42E27244-0CA8-4C77-A613-1D48417EED0A}"/>
    <cellStyle name="Normal 9 2 2 2 2" xfId="2513" xr:uid="{C89D024D-7F8A-458A-9C2C-17B0C2B641E8}"/>
    <cellStyle name="Normal 9 2 2 2 2 2" xfId="3819" xr:uid="{0959BE3B-D7D3-4A56-81B0-56E9AE310A97}"/>
    <cellStyle name="Normal 9 2 2 2 2 2 2" xfId="7276" xr:uid="{CAED8A72-7AF9-429A-8670-023B0C77CF1A}"/>
    <cellStyle name="Normal 9 2 2 2 2 3" xfId="5537" xr:uid="{50D8BA14-D12A-4CDF-B5C6-1D384396E451}"/>
    <cellStyle name="Normal 9 2 2 2 3" xfId="2972" xr:uid="{476F0287-4EE1-4F22-9D23-E0B9B92DC9E6}"/>
    <cellStyle name="Normal 9 2 2 2 3 2" xfId="6407" xr:uid="{2E1E7DD2-4BBB-4D75-A827-15A43CC7A551}"/>
    <cellStyle name="Normal 9 2 2 2 4" xfId="4667" xr:uid="{785D9ED8-55F3-4485-81A4-F9ECDB4952E1}"/>
    <cellStyle name="Normal 9 2 2 3" xfId="1834" xr:uid="{0B5B7393-97D3-4E55-AFA2-657A2A83DC1F}"/>
    <cellStyle name="Normal 9 2 2 3 2" xfId="3392" xr:uid="{CC163299-33C8-4915-B7E2-45FCBAABF4FE}"/>
    <cellStyle name="Normal 9 2 2 3 2 2" xfId="6841" xr:uid="{CB5D580B-5A77-4933-95EF-EE183028EBE6}"/>
    <cellStyle name="Normal 9 2 2 3 3" xfId="5102" xr:uid="{9450AF84-9B4B-43FE-9452-3676E85A1F71}"/>
    <cellStyle name="Normal 9 2 2 4" xfId="964" xr:uid="{E68489AE-DD94-4B4B-ABFC-92BC8C9DD2F5}"/>
    <cellStyle name="Normal 9 2 2 4 2" xfId="5972" xr:uid="{A05CEBB7-7E50-4C91-AAD1-B95446F8ACC6}"/>
    <cellStyle name="Normal 9 2 2 5" xfId="4234" xr:uid="{8BC8A053-9A7D-4A3D-9FDA-489EDAFBAEA5}"/>
    <cellStyle name="Normal 9 2 3" xfId="1170" xr:uid="{82F03022-980A-469D-9B8F-38E8A1787338}"/>
    <cellStyle name="Normal 9 2 3 2" xfId="2322" xr:uid="{C98833B1-2399-42AF-AC8B-C9B8DCDA8F71}"/>
    <cellStyle name="Normal 9 2 3 2 2" xfId="3614" xr:uid="{C8DE9FA0-B614-4BA6-A273-5996487E2E43}"/>
    <cellStyle name="Normal 9 2 3 2 2 2" xfId="7069" xr:uid="{E40A3F94-157C-4304-9433-6214796F0B36}"/>
    <cellStyle name="Normal 9 2 3 2 3" xfId="5330" xr:uid="{72CDA857-2CF8-46FE-BAD5-97A5AC69BA7E}"/>
    <cellStyle name="Normal 9 2 3 3" xfId="2767" xr:uid="{1859FC8A-7EB4-46E3-8BA8-31BF48C15CAC}"/>
    <cellStyle name="Normal 9 2 3 3 2" xfId="6200" xr:uid="{838CD2F5-2EFF-4F14-9CEA-E3B7CBB883C1}"/>
    <cellStyle name="Normal 9 2 3 4" xfId="4460" xr:uid="{4E1F76A9-D3AF-4B9F-A7FB-9EF7FB2FA46B}"/>
    <cellStyle name="Normal 9 2 4" xfId="1529" xr:uid="{A80BED78-FCC7-4CAB-9F5D-8EC998F1CE1E}"/>
    <cellStyle name="Normal 9 2 4 2" xfId="3194" xr:uid="{E83A1AB3-909E-4138-AE06-3C5E42F68BFB}"/>
    <cellStyle name="Normal 9 2 4 2 2" xfId="6634" xr:uid="{49FFB3D4-395E-402B-A7CA-AE8877DED22E}"/>
    <cellStyle name="Normal 9 2 4 3" xfId="4895" xr:uid="{6B640349-8154-4D30-9D68-417010D75075}"/>
    <cellStyle name="Normal 9 2 5" xfId="757" xr:uid="{519BF0CD-40DF-4442-8E5B-5E87004FF461}"/>
    <cellStyle name="Normal 9 2 5 2" xfId="5765" xr:uid="{BB85A5CD-341A-402F-B786-142F7ECA047A}"/>
    <cellStyle name="Normal 9 2 6" xfId="4038" xr:uid="{CBF60C55-0481-411F-99B5-3509C3A21DB0}"/>
    <cellStyle name="Normal 9 3" xfId="419" xr:uid="{00B45FA5-E395-481C-B293-05A1B8B793DA}"/>
    <cellStyle name="Normal 9 3 2" xfId="1279" xr:uid="{632EA0BD-0034-4371-9B35-74AE32606B8F}"/>
    <cellStyle name="Normal 9 3 2 2" xfId="2420" xr:uid="{111ABA9B-4CA2-4AD3-9AB8-15C8067F2AEA}"/>
    <cellStyle name="Normal 9 3 2 2 2" xfId="3721" xr:uid="{7897F84F-852D-40FB-A9CD-7E3EAA6B76E1}"/>
    <cellStyle name="Normal 9 3 2 2 2 2" xfId="7178" xr:uid="{CD5D6359-7325-4FC6-8BB2-322FF77BB23E}"/>
    <cellStyle name="Normal 9 3 2 2 3" xfId="5439" xr:uid="{E8ACB48F-3BEA-4375-BD9C-F76FE41CFC24}"/>
    <cellStyle name="Normal 9 3 2 3" xfId="2874" xr:uid="{4AE71DCD-DDE7-4AF7-936E-E12B7BB3AF07}"/>
    <cellStyle name="Normal 9 3 2 3 2" xfId="6309" xr:uid="{BBBC5977-565C-4930-9FE5-D5CD9957D209}"/>
    <cellStyle name="Normal 9 3 2 4" xfId="4569" xr:uid="{3B66D9BC-7B26-4201-A54A-FBC3DABE5D12}"/>
    <cellStyle name="Normal 9 3 3" xfId="1736" xr:uid="{99D8500F-1C99-4A34-B094-C7DA435A9ADA}"/>
    <cellStyle name="Normal 9 3 3 2" xfId="3299" xr:uid="{28FC785C-2962-42AA-9035-38078F44119E}"/>
    <cellStyle name="Normal 9 3 3 2 2" xfId="6743" xr:uid="{D57FB0CB-9263-458B-ABD1-C1D744747720}"/>
    <cellStyle name="Normal 9 3 3 3" xfId="5004" xr:uid="{0C1328AB-8FD5-46D7-ACDB-44009CAD1A25}"/>
    <cellStyle name="Normal 9 3 4" xfId="866" xr:uid="{5B25F1AF-83E2-4C0D-9F79-6935013322EF}"/>
    <cellStyle name="Normal 9 3 4 2" xfId="5874" xr:uid="{C005FB45-80B9-4F22-8FE2-684502F16458}"/>
    <cellStyle name="Normal 9 3 5" xfId="4141" xr:uid="{39EC7168-7BDE-4B95-8A05-41B818035E79}"/>
    <cellStyle name="Normal 9 4" xfId="583" xr:uid="{2FAF6CE7-C230-4BDD-BD6B-091A8C809F1C}"/>
    <cellStyle name="Normal 9 4 2" xfId="1070" xr:uid="{E1C97443-9314-45DA-A0B2-D7185681AE4C}"/>
    <cellStyle name="Normal 9 4 2 2" xfId="2092" xr:uid="{047AFEDE-982F-4F12-88E2-E93C26C55834}"/>
    <cellStyle name="Normal 9 4 2 2 2" xfId="2550" xr:uid="{F1EB3E65-31D4-4B1F-AF1F-B284C159EE63}"/>
    <cellStyle name="Normal 9 4 2 2 2 2" xfId="3856" xr:uid="{F4504489-0378-48F1-B381-22AA2E7F1337}"/>
    <cellStyle name="Normal 9 4 2 2 2 2 2" xfId="7313" xr:uid="{05361B91-5103-404F-B835-CEBDFB76184D}"/>
    <cellStyle name="Normal 9 4 2 2 2 3" xfId="5574" xr:uid="{D622F11B-81F1-465A-BF5F-39E94FC28A08}"/>
    <cellStyle name="Normal 9 4 2 2 3" xfId="3009" xr:uid="{5430F669-82E4-4248-8EEF-5BD02B418897}"/>
    <cellStyle name="Normal 9 4 2 2 3 2" xfId="6444" xr:uid="{7AD2A3B3-2365-43CD-A6DB-96CD26B81793}"/>
    <cellStyle name="Normal 9 4 2 2 4" xfId="4704" xr:uid="{1E8A911D-1D57-403C-9E7E-4F44188584CE}"/>
    <cellStyle name="Normal 9 4 2 3" xfId="2161" xr:uid="{F56947FB-920D-455B-AD0C-D22173D26662}"/>
    <cellStyle name="Normal 9 4 2 3 2" xfId="3429" xr:uid="{4F2C0D87-2B41-44C1-8630-41F4117965C8}"/>
    <cellStyle name="Normal 9 4 2 3 2 2" xfId="6878" xr:uid="{B22D0467-5FF1-4D7B-ADE5-7016246B06CB}"/>
    <cellStyle name="Normal 9 4 2 3 3" xfId="5139" xr:uid="{C72EA1E0-BBCD-47F8-967E-52FE7733C2D3}"/>
    <cellStyle name="Normal 9 4 2 4" xfId="2587" xr:uid="{3717C974-62D2-478C-B3B3-F1FC0862254A}"/>
    <cellStyle name="Normal 9 4 2 4 2" xfId="6009" xr:uid="{91A63DD8-62D7-481C-AD18-48168C63CE54}"/>
    <cellStyle name="Normal 9 4 2 5" xfId="4271" xr:uid="{325FD363-6F98-45EF-8524-B6D323284F1F}"/>
    <cellStyle name="Normal 9 4 3" xfId="2090" xr:uid="{86017C93-6BDE-4CF3-A831-C920CA41423B}"/>
    <cellStyle name="Normal 9 4 3 2" xfId="2547" xr:uid="{8E969DF0-995F-4801-A8DC-B329EE669B66}"/>
    <cellStyle name="Normal 9 4 3 2 2" xfId="3853" xr:uid="{456A8FAB-5188-4CC8-A09C-2D49B78DA900}"/>
    <cellStyle name="Normal 9 4 3 2 2 2" xfId="7310" xr:uid="{FEA0E438-9422-4FAC-BC14-AC8B8FB3CA12}"/>
    <cellStyle name="Normal 9 4 3 2 3" xfId="5571" xr:uid="{B005CBA6-093E-4EAF-B80C-5C6D26585B32}"/>
    <cellStyle name="Normal 9 4 3 3" xfId="3006" xr:uid="{E7B6536F-995B-433C-96CA-B9A15E0DEBB6}"/>
    <cellStyle name="Normal 9 4 3 3 2" xfId="6441" xr:uid="{9082A838-84AF-4334-B86F-7455870D8414}"/>
    <cellStyle name="Normal 9 4 3 4" xfId="4701" xr:uid="{4A4972D5-4BF5-4D03-B357-C23492F95EA0}"/>
    <cellStyle name="Normal 9 4 4" xfId="2158" xr:uid="{9C9B0803-B2BE-4ED3-8299-04CFDBC60EA9}"/>
    <cellStyle name="Normal 9 4 4 2" xfId="3426" xr:uid="{9E21222F-691D-4982-B77B-F84446A209E1}"/>
    <cellStyle name="Normal 9 4 4 2 2" xfId="6875" xr:uid="{13709B9C-70D6-4870-9403-E5A94B33F997}"/>
    <cellStyle name="Normal 9 4 4 3" xfId="5136" xr:uid="{18102E69-071F-4AA1-9229-E0613EF481C2}"/>
    <cellStyle name="Normal 9 4 5" xfId="2584" xr:uid="{B66E7E07-D630-4A1E-AEE8-A2A993622F1E}"/>
    <cellStyle name="Normal 9 4 5 2" xfId="6006" xr:uid="{01EA39CD-F7B1-48F2-BD08-5EE9040756DC}"/>
    <cellStyle name="Normal 9 4 6" xfId="4268" xr:uid="{24DC60D2-AEC5-49EE-B489-CE0A4B33AE59}"/>
    <cellStyle name="Normal 9 5" xfId="582" xr:uid="{EBA4FCB8-A98E-4447-9723-92085F72DCD4}"/>
    <cellStyle name="Normal 9 5 2" xfId="1411" xr:uid="{4AE8E530-C9E6-4074-8A0F-98249EB1A4E8}"/>
    <cellStyle name="Normal 9 5 2 2" xfId="2540" xr:uid="{14E919DA-EEE9-48AF-960E-52F45EC5B747}"/>
    <cellStyle name="Normal 9 5 2 2 2" xfId="3846" xr:uid="{A48F5F15-5AB5-4A45-A729-6A76589D0337}"/>
    <cellStyle name="Normal 9 5 2 2 2 2" xfId="7303" xr:uid="{9ECCE0AF-8220-46B2-80C4-99173CD6589E}"/>
    <cellStyle name="Normal 9 5 2 2 3" xfId="5564" xr:uid="{4C9E36DB-4EAE-4811-AA87-4480822F6381}"/>
    <cellStyle name="Normal 9 5 2 3" xfId="2999" xr:uid="{163FB986-18CF-4CF9-9A4D-61C5FAA10EB3}"/>
    <cellStyle name="Normal 9 5 2 3 2" xfId="6434" xr:uid="{E9222BC8-EE55-4990-B14D-C6D699913D35}"/>
    <cellStyle name="Normal 9 5 2 4" xfId="4694" xr:uid="{3E3835D8-EDF0-4B01-8085-9E744EC53213}"/>
    <cellStyle name="Normal 9 5 3" xfId="2152" xr:uid="{C8C2A069-A85F-4A00-8772-BDBF8B126410}"/>
    <cellStyle name="Normal 9 5 3 2" xfId="3419" xr:uid="{7BBCEC5F-EA61-4D52-B1A6-6BB92D31A8AC}"/>
    <cellStyle name="Normal 9 5 3 2 2" xfId="6868" xr:uid="{4A383C9A-D18C-4B9F-8CDB-F6872832B71A}"/>
    <cellStyle name="Normal 9 5 3 3" xfId="5129" xr:uid="{40CD5265-4AD1-4AE3-BB69-1F19722C1DB4}"/>
    <cellStyle name="Normal 9 5 4" xfId="2577" xr:uid="{1395FEBA-F479-494C-A4F8-67136B6FE53B}"/>
    <cellStyle name="Normal 9 5 4 2" xfId="5999" xr:uid="{1BF5EBC8-E6C2-46B1-8127-C6C963703E59}"/>
    <cellStyle name="Normal 9 5 5" xfId="4261" xr:uid="{0F4B82B2-1D1C-40BE-BA39-E2C29292A4BE}"/>
    <cellStyle name="Normal 9 6" xfId="1426" xr:uid="{B2F1FF7D-57B6-4EC1-9F7F-9CEEC16BAA6F}"/>
    <cellStyle name="Normal 9 6 2" xfId="2091" xr:uid="{8E312570-B388-4442-84A7-4B6BF336E286}"/>
    <cellStyle name="Normal 9 6 2 2" xfId="2548" xr:uid="{89718B9C-0E47-4F06-B05A-07B6DAAE153A}"/>
    <cellStyle name="Normal 9 6 2 2 2" xfId="3854" xr:uid="{569B3336-0244-4C9A-BB6C-312BFA390B5E}"/>
    <cellStyle name="Normal 9 6 2 2 2 2" xfId="7311" xr:uid="{81A85566-57EE-4FE5-A391-4597A381B3D7}"/>
    <cellStyle name="Normal 9 6 2 2 3" xfId="5572" xr:uid="{94EAA357-FB50-4A8C-9558-7A7E097D6F4B}"/>
    <cellStyle name="Normal 9 6 2 3" xfId="3007" xr:uid="{B9B229EA-73C4-4031-B8A8-E86D18733FA4}"/>
    <cellStyle name="Normal 9 6 2 3 2" xfId="6442" xr:uid="{43433E14-6D5C-4E5F-B55D-22930AA4E9C6}"/>
    <cellStyle name="Normal 9 6 2 4" xfId="4702" xr:uid="{290AE3FC-C0C7-40DD-95F1-D646C6768A54}"/>
    <cellStyle name="Normal 9 6 3" xfId="2159" xr:uid="{6AC9CF07-0F55-4BDE-A7CF-DE3E43E62A5D}"/>
    <cellStyle name="Normal 9 6 3 2" xfId="3427" xr:uid="{A34090C1-F43F-4C31-834A-4AD796A43941}"/>
    <cellStyle name="Normal 9 6 3 2 2" xfId="6876" xr:uid="{3B4707EA-80ED-4E4D-A9BA-EF8A9778D234}"/>
    <cellStyle name="Normal 9 6 3 3" xfId="5137" xr:uid="{585AB454-E201-4BDC-8195-9B621056339F}"/>
    <cellStyle name="Normal 9 6 4" xfId="2585" xr:uid="{1C39AABB-5B05-4FE6-A1A0-60D0EB752158}"/>
    <cellStyle name="Normal 9 6 4 2" xfId="6007" xr:uid="{8B2637EF-EAF1-46EA-B174-7D71E8E1B6A9}"/>
    <cellStyle name="Normal 9 6 5" xfId="4269" xr:uid="{66ECA73E-0CB4-4F98-8BB4-D863DCA8D721}"/>
    <cellStyle name="Normal 9 6 6" xfId="2043" xr:uid="{DD55ECEB-FEFA-4DC0-B678-8A6A4D475E64}"/>
    <cellStyle name="Normal 9 7" xfId="657" xr:uid="{62C96925-679F-4BDF-AFF0-6508FA0AFA18}"/>
    <cellStyle name="Normal 9 7 2" xfId="2016" xr:uid="{F4964151-40C8-43AC-8A54-36E32409538D}"/>
    <cellStyle name="Normal 9 7 2 2" xfId="2560" xr:uid="{CDF3CCBE-4EEE-4F83-9E8A-99E994FBD957}"/>
    <cellStyle name="Normal 9 7 2 2 2" xfId="3867" xr:uid="{ED26562E-E8A4-4541-B3D1-D1CC55C3967C}"/>
    <cellStyle name="Normal 9 7 2 2 2 2" xfId="7324" xr:uid="{C04E8732-8090-46AE-B016-C9924C1E28FA}"/>
    <cellStyle name="Normal 9 7 2 2 3" xfId="5585" xr:uid="{E8D0DEB3-9289-468D-8D9A-35F73B2BB703}"/>
    <cellStyle name="Normal 9 7 2 3" xfId="3020" xr:uid="{D1C8C6AC-64C5-497E-A6B0-0BCA244F3D78}"/>
    <cellStyle name="Normal 9 7 2 3 2" xfId="6455" xr:uid="{DACDB660-EFDC-423F-9575-7E6FF864AFEC}"/>
    <cellStyle name="Normal 9 7 2 4" xfId="4715" xr:uid="{3E659E8B-D52A-4C1B-B126-EF2B87A0E805}"/>
    <cellStyle name="Normal 9 7 2 5" xfId="2099" xr:uid="{F2168D4D-C8EA-4739-85FA-7D18F2DDB51B}"/>
    <cellStyle name="Normal 9 7 3" xfId="2168" xr:uid="{20C551C1-9095-4ECD-A837-49D3EA9B5811}"/>
    <cellStyle name="Normal 9 7 3 2" xfId="3440" xr:uid="{4753D529-90C4-4045-92F2-C32C41C74605}"/>
    <cellStyle name="Normal 9 7 3 2 2" xfId="6889" xr:uid="{A3ED66D8-93A8-4104-95FC-4A9749401384}"/>
    <cellStyle name="Normal 9 7 3 3" xfId="5150" xr:uid="{527BC35B-E080-41AB-877C-A8BAD26332FC}"/>
    <cellStyle name="Normal 9 7 4" xfId="2597" xr:uid="{C0600C0C-16BD-435A-B05F-DC4CB474E600}"/>
    <cellStyle name="Normal 9 7 4 2" xfId="6020" xr:uid="{D7266DF7-4AB9-474C-8532-EFE478E9185F}"/>
    <cellStyle name="Normal 9 7 5" xfId="4282" xr:uid="{97E9CF98-A676-4885-8960-226EEC00EFC5}"/>
    <cellStyle name="Normal 9 8" xfId="2084" xr:uid="{C6BAE95B-EBE4-449D-BFDD-9829F9DAC65B}"/>
    <cellStyle name="Normal 9 8 2" xfId="2237" xr:uid="{9A5AF7C4-FC8C-47F9-8EC6-67A78360BE6C}"/>
    <cellStyle name="Normal 9 8 2 2" xfId="3515" xr:uid="{EB12415A-B3CA-4FDF-99DD-5EEDE465C285}"/>
    <cellStyle name="Normal 9 8 2 2 2" xfId="6969" xr:uid="{17F91FFE-4F05-4157-8464-F42D525A0923}"/>
    <cellStyle name="Normal 9 8 2 3" xfId="5230" xr:uid="{B93AFFE7-87E4-4DFC-B9C5-10DF87CA78EA}"/>
    <cellStyle name="Normal 9 8 3" xfId="2668" xr:uid="{390A9F6E-F7F3-4703-A5E8-8B1DA9982F2C}"/>
    <cellStyle name="Normal 9 8 3 2" xfId="6100" xr:uid="{36D49DD4-B271-4F96-95AA-2C6559F5B7B0}"/>
    <cellStyle name="Normal 9 8 4" xfId="4360" xr:uid="{20BA8E38-3748-477A-AC5F-91313300AF21}"/>
    <cellStyle name="Normal 9 9" xfId="2148" xr:uid="{9B1483C3-EF9B-4627-BEE3-7D34D71EDD4B}"/>
    <cellStyle name="Normal 9 9 2" xfId="3100" xr:uid="{AA75A05E-9E03-47D1-92AE-56CFB694C401}"/>
    <cellStyle name="Normal 9 9 2 2" xfId="6535" xr:uid="{DEE93667-FA10-40CC-B1CB-752E09BFA4D9}"/>
    <cellStyle name="Normal 9 9 3" xfId="4795" xr:uid="{268E921B-B554-43A7-8558-537036138A31}"/>
    <cellStyle name="Normal_CF Annual" xfId="43" xr:uid="{DC925549-C919-48D8-AC58-EAF114DD0E7C}"/>
    <cellStyle name="Normal_Historical datasheet - 2" xfId="44" xr:uid="{FFAED8D8-8E85-4632-9032-0D3BE13C6425}"/>
    <cellStyle name="Normal_Index" xfId="45" xr:uid="{705717F9-B630-4B65-B719-024C10C93736}"/>
    <cellStyle name="Note 2" xfId="147" xr:uid="{1EBCE351-B47C-4971-A5A6-4B5B66876B86}"/>
    <cellStyle name="Note 2 2" xfId="162" xr:uid="{998FEFA0-CC18-4EED-BEC7-737838B2029B}"/>
    <cellStyle name="Note 2 2 2" xfId="196" xr:uid="{3D047E9F-4E8A-4569-875E-0F8219B12FC1}"/>
    <cellStyle name="Note 2 2 2 2" xfId="293" xr:uid="{40706032-38B1-484E-BAB9-480E5BF049D0}"/>
    <cellStyle name="Note 2 2 2 2 2" xfId="502" xr:uid="{A1A96639-30F3-4959-8746-2BF9939ECEFD}"/>
    <cellStyle name="Note 2 2 2 2 2 2" xfId="1362" xr:uid="{E61354BC-DAB7-4BBD-9347-ADC1E9B58D5B}"/>
    <cellStyle name="Note 2 2 2 2 2 2 2" xfId="2500" xr:uid="{2A2BCB9F-4F4F-4646-9C07-A4E186CFEF0E}"/>
    <cellStyle name="Note 2 2 2 2 2 2 2 2" xfId="3804" xr:uid="{4446BAD6-FC2F-4300-AA1F-4A7388EDAD11}"/>
    <cellStyle name="Note 2 2 2 2 2 2 2 2 2" xfId="7261" xr:uid="{6CBD523D-2F95-450A-964C-8D7BB1C69E5B}"/>
    <cellStyle name="Note 2 2 2 2 2 2 2 3" xfId="5522" xr:uid="{F8722619-5A27-4B32-A188-1E2AFF06AB59}"/>
    <cellStyle name="Note 2 2 2 2 2 2 3" xfId="2957" xr:uid="{5414A284-2AC4-4850-9F4B-90696189B821}"/>
    <cellStyle name="Note 2 2 2 2 2 2 3 2" xfId="6392" xr:uid="{3903732D-BC49-4FD8-AB46-EB4BB7EDD48A}"/>
    <cellStyle name="Note 2 2 2 2 2 2 4" xfId="4652" xr:uid="{C22CF8D8-6D33-4CC9-8B2F-969172501856}"/>
    <cellStyle name="Note 2 2 2 2 2 3" xfId="1819" xr:uid="{A2995EE5-ADD3-486D-92B2-84FE91F02A1A}"/>
    <cellStyle name="Note 2 2 2 2 2 3 2" xfId="3379" xr:uid="{C8FC926D-BF9B-4F30-92C5-60558A5E7962}"/>
    <cellStyle name="Note 2 2 2 2 2 3 2 2" xfId="6826" xr:uid="{4E3006FB-6D5A-494A-967C-756750A905F0}"/>
    <cellStyle name="Note 2 2 2 2 2 3 3" xfId="5087" xr:uid="{003B1B76-C672-4412-9962-1ECB771EA86A}"/>
    <cellStyle name="Note 2 2 2 2 2 4" xfId="949" xr:uid="{91C9CAB5-EE5D-474E-8733-F7929D3BBCAC}"/>
    <cellStyle name="Note 2 2 2 2 2 4 2" xfId="5957" xr:uid="{C7E1A0E1-4220-48E6-A588-DAFEC1C6E9A5}"/>
    <cellStyle name="Note 2 2 2 2 2 5" xfId="4221" xr:uid="{1BE085B7-32A8-4C37-BB16-D00E0C4D717D}"/>
    <cellStyle name="Note 2 2 2 2 3" xfId="1155" xr:uid="{040220AD-E257-4BED-982D-D6D414EBD4D9}"/>
    <cellStyle name="Note 2 2 2 2 3 2" xfId="2312" xr:uid="{E25BFA35-E78A-4331-A26A-F56004CAC76C}"/>
    <cellStyle name="Note 2 2 2 2 3 2 2" xfId="3599" xr:uid="{A293E48B-27FC-46EE-A799-B564845DB2AD}"/>
    <cellStyle name="Note 2 2 2 2 3 2 2 2" xfId="7054" xr:uid="{36A608A8-A76A-4E7D-8E50-23EEEB9AFDE0}"/>
    <cellStyle name="Note 2 2 2 2 3 2 3" xfId="5315" xr:uid="{773E2D41-8EDD-4978-8FAB-995697B9EDCA}"/>
    <cellStyle name="Note 2 2 2 2 3 3" xfId="2752" xr:uid="{A8402052-9F4D-4052-83D8-294013C311DF}"/>
    <cellStyle name="Note 2 2 2 2 3 3 2" xfId="6185" xr:uid="{8F5D3B5F-6414-4571-A1E1-8C63A52B5189}"/>
    <cellStyle name="Note 2 2 2 2 3 4" xfId="4445" xr:uid="{E41EDEB7-8C0D-41F4-B43E-A43E3EA6A97B}"/>
    <cellStyle name="Note 2 2 2 2 4" xfId="1629" xr:uid="{1C1C181B-1085-475C-87F8-53E9F51DC087}"/>
    <cellStyle name="Note 2 2 2 2 4 2" xfId="3181" xr:uid="{DB742858-4E42-418F-AFBD-E1DDE40DCE47}"/>
    <cellStyle name="Note 2 2 2 2 4 2 2" xfId="6619" xr:uid="{0A5A8508-8171-424A-962E-1C10D70E72A5}"/>
    <cellStyle name="Note 2 2 2 2 4 3" xfId="4880" xr:uid="{9A11B09B-7B33-4DEC-A762-2F57DB4AE08C}"/>
    <cellStyle name="Note 2 2 2 2 5" xfId="742" xr:uid="{CFB8E232-0552-49D0-9678-C94010CDE78A}"/>
    <cellStyle name="Note 2 2 2 2 5 2" xfId="5750" xr:uid="{6134B274-740A-4636-8C5D-989C2244089B}"/>
    <cellStyle name="Note 2 2 2 2 6" xfId="4025" xr:uid="{C458843D-6C1C-42FF-9D8B-9B71C60E65EB}"/>
    <cellStyle name="Note 2 2 2 3" xfId="409" xr:uid="{ED0420AD-0AD6-4E95-8D20-29E6F68E439B}"/>
    <cellStyle name="Note 2 2 2 3 2" xfId="1269" xr:uid="{032F968D-D24E-46D9-AB1B-C0A5CC95DCE2}"/>
    <cellStyle name="Note 2 2 2 3 2 2" xfId="2412" xr:uid="{1D20194D-0BE1-46E3-802D-FB01380884EB}"/>
    <cellStyle name="Note 2 2 2 3 2 2 2" xfId="3711" xr:uid="{BFED5AC2-CE6A-4C2A-8ECF-945BA9DBEE68}"/>
    <cellStyle name="Note 2 2 2 3 2 2 2 2" xfId="7168" xr:uid="{F253C792-53F5-462F-ABD5-32CD0069EB87}"/>
    <cellStyle name="Note 2 2 2 3 2 2 3" xfId="5429" xr:uid="{0B1FCF87-9CFD-4851-8579-9B2E046DFC69}"/>
    <cellStyle name="Note 2 2 2 3 2 3" xfId="2864" xr:uid="{0A2D2E24-E1F3-4598-8449-BC5FDA508DB3}"/>
    <cellStyle name="Note 2 2 2 3 2 3 2" xfId="6299" xr:uid="{7E532B1F-60E5-4843-AB7E-7DD44DCB5948}"/>
    <cellStyle name="Note 2 2 2 3 2 4" xfId="4559" xr:uid="{D0001D48-053C-4D60-81A0-80AC71202CC4}"/>
    <cellStyle name="Note 2 2 2 3 3" xfId="1726" xr:uid="{7A5F27D6-5E54-4E43-9374-19C0EBAC5701}"/>
    <cellStyle name="Note 2 2 2 3 3 2" xfId="3291" xr:uid="{E4B3A366-8731-4A58-B3A3-AD97D86AE1DB}"/>
    <cellStyle name="Note 2 2 2 3 3 2 2" xfId="6733" xr:uid="{61A4A5A0-0CF0-4A33-B13E-66E2D6F9F6F0}"/>
    <cellStyle name="Note 2 2 2 3 3 3" xfId="4994" xr:uid="{41CA0570-8E03-49CF-BFE3-CB75E0DDAE27}"/>
    <cellStyle name="Note 2 2 2 3 4" xfId="856" xr:uid="{ED505472-D0CF-46F7-8F69-50C3B843DAAE}"/>
    <cellStyle name="Note 2 2 2 3 4 2" xfId="5864" xr:uid="{6AE01567-6624-4DC5-822C-3502041BF2A4}"/>
    <cellStyle name="Note 2 2 2 3 5" xfId="4133" xr:uid="{6B4EE7E5-58A5-44F0-B6BA-2EBAFF5505D9}"/>
    <cellStyle name="Note 2 2 2 4" xfId="1056" xr:uid="{25612351-E58F-4EB9-A037-5694D81080F4}"/>
    <cellStyle name="Note 2 2 2 4 2" xfId="2229" xr:uid="{F087B6BF-16DD-45E8-8997-55B6CBA6B566}"/>
    <cellStyle name="Note 2 2 2 4 2 2" xfId="3502" xr:uid="{48652C41-635B-43C4-8108-9F6225DF9BED}"/>
    <cellStyle name="Note 2 2 2 4 2 2 2" xfId="6954" xr:uid="{9465E85B-A7DC-4063-9977-36BFA885CAB5}"/>
    <cellStyle name="Note 2 2 2 4 2 3" xfId="5215" xr:uid="{6BA1FD4B-1DC2-42B2-A151-433013BA27CC}"/>
    <cellStyle name="Note 2 2 2 4 3" xfId="2659" xr:uid="{F2C05735-93C6-4895-A136-F8395794FC53}"/>
    <cellStyle name="Note 2 2 2 4 3 2" xfId="6085" xr:uid="{BC63A938-078B-436F-8BE0-9A83ECB7EE2E}"/>
    <cellStyle name="Note 2 2 2 4 4" xfId="4346" xr:uid="{A3671FD7-39C1-4B3D-B14C-9D7E06AECE17}"/>
    <cellStyle name="Note 2 2 2 5" xfId="1511" xr:uid="{6B15D3FE-1552-4881-A9A7-03513D77A30C}"/>
    <cellStyle name="Note 2 2 2 5 2" xfId="3085" xr:uid="{932B23EA-D8D7-4BBD-8595-AA4C8A044141}"/>
    <cellStyle name="Note 2 2 2 5 2 2" xfId="6520" xr:uid="{64879C44-89CF-4EEC-927D-5EE713BF5D59}"/>
    <cellStyle name="Note 2 2 2 5 3" xfId="4780" xr:uid="{B1A50A50-A543-4A3E-9BF8-9BB1326BABE1}"/>
    <cellStyle name="Note 2 2 2 6" xfId="642" xr:uid="{5F9C07D5-2883-4AB3-AF5F-884E91D41661}"/>
    <cellStyle name="Note 2 2 2 6 2" xfId="5650" xr:uid="{189453C3-9F92-434E-B91F-2BECF178CFE4}"/>
    <cellStyle name="Note 2 2 2 7" xfId="3934" xr:uid="{AB3EC26C-A1E3-4964-9641-20E56D30E62C}"/>
    <cellStyle name="Note 2 2 3" xfId="263" xr:uid="{C6B3C8D3-3708-4A2C-B2ED-F942734AF661}"/>
    <cellStyle name="Note 2 2 3 2" xfId="472" xr:uid="{C03233B3-5FBE-4B96-ACFB-EC988F4E6039}"/>
    <cellStyle name="Note 2 2 3 2 2" xfId="1332" xr:uid="{0820BCC0-AED7-40BE-AA0E-334C66EDCB97}"/>
    <cellStyle name="Note 2 2 3 2 2 2" xfId="2472" xr:uid="{4739CE28-990B-4C96-82FD-33758204021A}"/>
    <cellStyle name="Note 2 2 3 2 2 2 2" xfId="3774" xr:uid="{52710989-56B9-402A-8436-7BA0419402E5}"/>
    <cellStyle name="Note 2 2 3 2 2 2 2 2" xfId="7231" xr:uid="{AB43CFEF-64FE-48D0-A817-B9597698EF44}"/>
    <cellStyle name="Note 2 2 3 2 2 2 3" xfId="5492" xr:uid="{5F9D0690-3D13-46EC-B22A-6F1A003AD308}"/>
    <cellStyle name="Note 2 2 3 2 2 3" xfId="2927" xr:uid="{594483DF-2D0D-4EBF-BB25-806EBA71F4F8}"/>
    <cellStyle name="Note 2 2 3 2 2 3 2" xfId="6362" xr:uid="{541E1AC1-1CD7-4B01-9BEC-B584AE510FF9}"/>
    <cellStyle name="Note 2 2 3 2 2 4" xfId="4622" xr:uid="{901DEF81-AF72-4655-9D44-D460119CAD23}"/>
    <cellStyle name="Note 2 2 3 2 3" xfId="1789" xr:uid="{1EEEB6BE-7AD7-4720-82DE-4A874A140163}"/>
    <cellStyle name="Note 2 2 3 2 3 2" xfId="3351" xr:uid="{72534E79-8F2E-45AA-9999-777F59E536BB}"/>
    <cellStyle name="Note 2 2 3 2 3 2 2" xfId="6796" xr:uid="{CB8D0B81-8433-41B5-B6A2-1BD17159507A}"/>
    <cellStyle name="Note 2 2 3 2 3 3" xfId="5057" xr:uid="{BC87C371-E586-4732-AC50-7AF479736B76}"/>
    <cellStyle name="Note 2 2 3 2 4" xfId="919" xr:uid="{544DC567-657C-4518-B201-230987B83369}"/>
    <cellStyle name="Note 2 2 3 2 4 2" xfId="5927" xr:uid="{FA345316-B089-4C26-9C54-3CD1427A921C}"/>
    <cellStyle name="Note 2 2 3 2 5" xfId="4193" xr:uid="{7338CBAA-8B72-4E6B-B2A1-46292081CDF6}"/>
    <cellStyle name="Note 2 2 3 3" xfId="1125" xr:uid="{9CE1181E-D9E3-4C3E-993E-922AA2F244EA}"/>
    <cellStyle name="Note 2 2 3 3 2" xfId="2284" xr:uid="{FDE518DB-D08E-4B6F-8363-CE630A9FD39A}"/>
    <cellStyle name="Note 2 2 3 3 2 2" xfId="3569" xr:uid="{0C0E7899-27A2-447E-9541-75084A20DBB7}"/>
    <cellStyle name="Note 2 2 3 3 2 2 2" xfId="7024" xr:uid="{14070E30-156E-4216-B67F-6064B1CB0214}"/>
    <cellStyle name="Note 2 2 3 3 2 3" xfId="5285" xr:uid="{EA845E15-A1CF-4E9B-BAA1-5BB42CF0F149}"/>
    <cellStyle name="Note 2 2 3 3 3" xfId="2722" xr:uid="{BAEAF5E6-7EC4-48C3-BC29-614C3E62FC12}"/>
    <cellStyle name="Note 2 2 3 3 3 2" xfId="6155" xr:uid="{147B6493-CAC5-4F68-B95F-69D663218F78}"/>
    <cellStyle name="Note 2 2 3 3 4" xfId="4415" xr:uid="{DA766FD0-6C41-4B2B-8A51-743950898547}"/>
    <cellStyle name="Note 2 2 3 4" xfId="1599" xr:uid="{C7691634-DE59-4B4C-AB9C-E4AB70E0EDD6}"/>
    <cellStyle name="Note 2 2 3 4 2" xfId="3153" xr:uid="{78C1C567-A888-41EB-A38A-9A8597F26F1D}"/>
    <cellStyle name="Note 2 2 3 4 2 2" xfId="6589" xr:uid="{6C65213D-F08E-49FA-9337-C0DFD10CDC53}"/>
    <cellStyle name="Note 2 2 3 4 3" xfId="4850" xr:uid="{58835AA2-0D31-4852-8F7D-C9E7D84A6163}"/>
    <cellStyle name="Note 2 2 3 5" xfId="712" xr:uid="{1211A99D-A73A-4750-8D45-663B172F3501}"/>
    <cellStyle name="Note 2 2 3 5 2" xfId="5720" xr:uid="{4F4ED432-2C20-4191-A407-A06ACEF0CB39}"/>
    <cellStyle name="Note 2 2 3 6" xfId="3997" xr:uid="{6A6B5D00-3777-498A-809F-F5681D617025}"/>
    <cellStyle name="Note 2 2 4" xfId="377" xr:uid="{DDABAA2F-F199-4BF3-AADB-9CD4426CFCBC}"/>
    <cellStyle name="Note 2 2 4 2" xfId="1239" xr:uid="{A569DE14-08F8-47EB-A3DD-E012734929F5}"/>
    <cellStyle name="Note 2 2 4 2 2" xfId="2384" xr:uid="{DA34045A-BCC2-4B36-A8B9-8D947992D23F}"/>
    <cellStyle name="Note 2 2 4 2 2 2" xfId="3681" xr:uid="{3EAACBC5-548B-45D6-973A-7330C8CF24C2}"/>
    <cellStyle name="Note 2 2 4 2 2 2 2" xfId="7138" xr:uid="{E1CF0130-C82F-4065-8BA1-69B25253A82E}"/>
    <cellStyle name="Note 2 2 4 2 2 3" xfId="5399" xr:uid="{46D27008-5ABF-45D4-AA0C-04B2D77E0157}"/>
    <cellStyle name="Note 2 2 4 2 3" xfId="2834" xr:uid="{7979FED5-E4D8-493E-A11B-45B0F2CCD89B}"/>
    <cellStyle name="Note 2 2 4 2 3 2" xfId="6269" xr:uid="{595041EC-8A90-44D9-AA62-08660C5E9394}"/>
    <cellStyle name="Note 2 2 4 2 4" xfId="4529" xr:uid="{3A23C181-F62B-443F-AC0F-B3273913B500}"/>
    <cellStyle name="Note 2 2 4 3" xfId="1695" xr:uid="{AD088289-B944-4F55-93E5-0005F382EFC9}"/>
    <cellStyle name="Note 2 2 4 3 2" xfId="3263" xr:uid="{D9568352-7F2D-457E-B709-CBA040B6E576}"/>
    <cellStyle name="Note 2 2 4 3 2 2" xfId="6703" xr:uid="{2A0DC233-F5B8-4191-BF27-BC915ABE0ADE}"/>
    <cellStyle name="Note 2 2 4 3 3" xfId="4964" xr:uid="{932A4523-471B-4FBE-91E3-B9D4C54C3550}"/>
    <cellStyle name="Note 2 2 4 4" xfId="826" xr:uid="{32D14B98-27BC-4CF9-AC35-ADA4A0089133}"/>
    <cellStyle name="Note 2 2 4 4 2" xfId="5834" xr:uid="{8783A79F-0A77-4F5E-8327-DDCF0FE35C06}"/>
    <cellStyle name="Note 2 2 4 5" xfId="4105" xr:uid="{EE40E626-0311-417E-B24B-0CF74B84FB45}"/>
    <cellStyle name="Note 2 2 5" xfId="1026" xr:uid="{658C2100-35CA-4B7B-8E57-EAA76ECD49EE}"/>
    <cellStyle name="Note 2 2 5 2" xfId="2201" xr:uid="{07221AD7-D892-45F7-A37B-F8B052624A3D}"/>
    <cellStyle name="Note 2 2 5 2 2" xfId="3474" xr:uid="{474BF405-8F78-449A-A152-8286E0367932}"/>
    <cellStyle name="Note 2 2 5 2 2 2" xfId="6924" xr:uid="{95300C6D-8774-4DBE-ADE3-7AEDD0EF1625}"/>
    <cellStyle name="Note 2 2 5 2 3" xfId="5185" xr:uid="{78D32B0E-0C0B-4BE2-9BAF-10CC116D108F}"/>
    <cellStyle name="Note 2 2 5 3" xfId="2631" xr:uid="{A32C55F1-4236-4788-A883-C316EC38D4E5}"/>
    <cellStyle name="Note 2 2 5 3 2" xfId="6055" xr:uid="{55334E65-D8A7-4CE3-B371-526D1F43E721}"/>
    <cellStyle name="Note 2 2 5 4" xfId="4316" xr:uid="{F6C8B656-FE1B-4A22-8E22-882D0F0E7F7E}"/>
    <cellStyle name="Note 2 2 6" xfId="1480" xr:uid="{65DB5461-08CE-467B-B621-FBC567726A4E}"/>
    <cellStyle name="Note 2 2 6 2" xfId="3055" xr:uid="{C2881E27-0BF6-44D3-BC62-EE4C17FA1288}"/>
    <cellStyle name="Note 2 2 6 2 2" xfId="6490" xr:uid="{8BB0A2B6-D2C8-40FD-BA3A-B828DF71B118}"/>
    <cellStyle name="Note 2 2 6 3" xfId="4750" xr:uid="{FE4B9673-4BA2-4BBC-BEB1-982B9C786018}"/>
    <cellStyle name="Note 2 2 7" xfId="612" xr:uid="{52E6CEAE-9C3D-4BFB-8F53-FE969CE30A1A}"/>
    <cellStyle name="Note 2 2 7 2" xfId="5620" xr:uid="{53E0AD32-2004-49E5-8442-C82F1BB53957}"/>
    <cellStyle name="Note 2 2 8" xfId="3906" xr:uid="{A09D0922-2401-4049-9957-469AF520C7A2}"/>
    <cellStyle name="Note 2 3" xfId="181" xr:uid="{934C533D-D810-4EB9-BDF0-4ADB5B0E9B47}"/>
    <cellStyle name="Note 2 3 2" xfId="278" xr:uid="{C5316C26-E8C3-4176-828F-91C59215C4F9}"/>
    <cellStyle name="Note 2 3 2 2" xfId="487" xr:uid="{DBA4AEEE-A0FF-460F-A6CE-9E1C80DDD7AB}"/>
    <cellStyle name="Note 2 3 2 2 2" xfId="1347" xr:uid="{8A68AAE2-9777-49F0-B1C7-7D423C341DAB}"/>
    <cellStyle name="Note 2 3 2 2 2 2" xfId="2486" xr:uid="{A133D8E7-1578-4926-B048-BDF3CC696812}"/>
    <cellStyle name="Note 2 3 2 2 2 2 2" xfId="3789" xr:uid="{500E43AC-77FD-4528-A20B-678EDF13A9E1}"/>
    <cellStyle name="Note 2 3 2 2 2 2 2 2" xfId="7246" xr:uid="{EB58BFA6-F468-4570-B76E-00A7053EA75C}"/>
    <cellStyle name="Note 2 3 2 2 2 2 3" xfId="5507" xr:uid="{0E2C47E1-41D6-4598-86C1-D7762C02605F}"/>
    <cellStyle name="Note 2 3 2 2 2 3" xfId="2942" xr:uid="{8CD1B3CB-FE23-4659-ABCB-57006A611D91}"/>
    <cellStyle name="Note 2 3 2 2 2 3 2" xfId="6377" xr:uid="{92039FFA-FBDB-4EB7-B782-5FD3DA48566D}"/>
    <cellStyle name="Note 2 3 2 2 2 4" xfId="4637" xr:uid="{F0DBDBC6-FB75-4AD2-9EC8-75AEA047B302}"/>
    <cellStyle name="Note 2 3 2 2 3" xfId="1804" xr:uid="{0228CBCE-3D36-425D-AFF5-DF5DFEC4F42E}"/>
    <cellStyle name="Note 2 3 2 2 3 2" xfId="3365" xr:uid="{B8CA314A-5C6C-493D-8B76-7BE38F53E618}"/>
    <cellStyle name="Note 2 3 2 2 3 2 2" xfId="6811" xr:uid="{18AA50FE-125A-4818-8508-FE2A635DE641}"/>
    <cellStyle name="Note 2 3 2 2 3 3" xfId="5072" xr:uid="{1FFF03DB-64EA-4E7A-A981-8A440D6AF431}"/>
    <cellStyle name="Note 2 3 2 2 4" xfId="934" xr:uid="{4313439D-79D8-4447-B776-3BC0920667CE}"/>
    <cellStyle name="Note 2 3 2 2 4 2" xfId="5942" xr:uid="{0CCCE7D1-DA97-4481-B0FE-FABBE9D15816}"/>
    <cellStyle name="Note 2 3 2 2 5" xfId="4207" xr:uid="{C7E4E2A4-E5D7-49DC-B312-DE13C7D446AD}"/>
    <cellStyle name="Note 2 3 2 3" xfId="1140" xr:uid="{3BE4735F-3A09-4D14-8838-5D076CC12A27}"/>
    <cellStyle name="Note 2 3 2 3 2" xfId="2298" xr:uid="{B0D497FB-A30D-43F7-946E-1C642E4CF8E5}"/>
    <cellStyle name="Note 2 3 2 3 2 2" xfId="3584" xr:uid="{22001D2C-71D4-4E96-9720-E5BBCEB6CA25}"/>
    <cellStyle name="Note 2 3 2 3 2 2 2" xfId="7039" xr:uid="{AF9C632A-2B8A-4A79-8B34-5F8ABD8FB41F}"/>
    <cellStyle name="Note 2 3 2 3 2 3" xfId="5300" xr:uid="{11A55529-197A-4718-876A-40828F301F77}"/>
    <cellStyle name="Note 2 3 2 3 3" xfId="2737" xr:uid="{EA326285-2657-42E2-8198-E679C72A02C1}"/>
    <cellStyle name="Note 2 3 2 3 3 2" xfId="6170" xr:uid="{AD7AB2BB-B5B8-4F81-A865-FCBB34AC2F56}"/>
    <cellStyle name="Note 2 3 2 3 4" xfId="4430" xr:uid="{189BA051-0313-47FC-ACA3-497AE157735D}"/>
    <cellStyle name="Note 2 3 2 4" xfId="1614" xr:uid="{194DE255-8DB0-4E33-827E-CDC559EB2CF3}"/>
    <cellStyle name="Note 2 3 2 4 2" xfId="3167" xr:uid="{AD62D6A5-978B-4C9F-B563-D56F7D7855F6}"/>
    <cellStyle name="Note 2 3 2 4 2 2" xfId="6604" xr:uid="{30DF097D-6AF6-40CF-B414-F0621D68FD4B}"/>
    <cellStyle name="Note 2 3 2 4 3" xfId="4865" xr:uid="{529BEF0C-30AB-484D-BBB1-F26D784BB8C0}"/>
    <cellStyle name="Note 2 3 2 5" xfId="727" xr:uid="{94B9E6A4-802E-459E-8B34-75624D88C049}"/>
    <cellStyle name="Note 2 3 2 5 2" xfId="5735" xr:uid="{1F7FDE71-69F8-4D8F-A06F-6029DEF3044A}"/>
    <cellStyle name="Note 2 3 2 6" xfId="4011" xr:uid="{1A2E9A74-AA8C-4F8E-9296-C0BE3D093120}"/>
    <cellStyle name="Note 2 3 3" xfId="394" xr:uid="{0BB21081-9132-4D1A-8094-620BDBD05969}"/>
    <cellStyle name="Note 2 3 3 2" xfId="1254" xr:uid="{3F50A041-AE07-4699-A015-18761676994E}"/>
    <cellStyle name="Note 2 3 3 2 2" xfId="2398" xr:uid="{FCFE286A-9B1E-44F0-8A36-3C55DCEF4AC4}"/>
    <cellStyle name="Note 2 3 3 2 2 2" xfId="3696" xr:uid="{0C3BFBA2-0B47-435F-9A34-E0BA35CD0CAE}"/>
    <cellStyle name="Note 2 3 3 2 2 2 2" xfId="7153" xr:uid="{7A0ACF01-3323-44B9-B49E-0C748C9A3931}"/>
    <cellStyle name="Note 2 3 3 2 2 3" xfId="5414" xr:uid="{CDFCB25E-CF24-4290-B8D4-B1005FD9DAA8}"/>
    <cellStyle name="Note 2 3 3 2 3" xfId="2849" xr:uid="{F90BC6EB-DA57-46DB-B1AE-CF65EA9707E1}"/>
    <cellStyle name="Note 2 3 3 2 3 2" xfId="6284" xr:uid="{68A9AAA0-14BA-423B-ABDB-8858DFE557B3}"/>
    <cellStyle name="Note 2 3 3 2 4" xfId="4544" xr:uid="{160CCC69-9274-49F2-9D15-FD8D2404EDAE}"/>
    <cellStyle name="Note 2 3 3 3" xfId="1711" xr:uid="{080DD63D-DCF3-4DA9-9C50-C6ABDD1A359E}"/>
    <cellStyle name="Note 2 3 3 3 2" xfId="3277" xr:uid="{24557242-6AA2-486C-A5B1-0824F106E91A}"/>
    <cellStyle name="Note 2 3 3 3 2 2" xfId="6718" xr:uid="{375E8AA6-3E2B-487D-B42D-A1F78F02EBA5}"/>
    <cellStyle name="Note 2 3 3 3 3" xfId="4979" xr:uid="{C45DF5F8-CAB3-46D6-BC7A-51236CAEF476}"/>
    <cellStyle name="Note 2 3 3 4" xfId="841" xr:uid="{467276C1-D7D1-4FF3-9B2C-CF3D5C5427DA}"/>
    <cellStyle name="Note 2 3 3 4 2" xfId="5849" xr:uid="{D7CDE916-6C95-4266-9D14-DBF43C664AC5}"/>
    <cellStyle name="Note 2 3 3 5" xfId="4119" xr:uid="{406FB141-EA34-4A4E-B7B3-67E4F3BC460E}"/>
    <cellStyle name="Note 2 3 4" xfId="1041" xr:uid="{BA676D9E-3414-4F3D-9096-6CAAD05472E5}"/>
    <cellStyle name="Note 2 3 4 2" xfId="2215" xr:uid="{ED5094E7-20FD-457D-9F24-EC04D2B4F53B}"/>
    <cellStyle name="Note 2 3 4 2 2" xfId="3488" xr:uid="{DD690D06-7CE1-48D7-8539-E928FB7B0358}"/>
    <cellStyle name="Note 2 3 4 2 2 2" xfId="6939" xr:uid="{3F16DD52-8BE9-4FFE-9B48-71613ED6B315}"/>
    <cellStyle name="Note 2 3 4 2 3" xfId="5200" xr:uid="{1A95445C-FDAA-4CC2-9D99-B5F69B1D5D33}"/>
    <cellStyle name="Note 2 3 4 3" xfId="2645" xr:uid="{B06D3FA3-F32E-4643-8E87-8A56359E106F}"/>
    <cellStyle name="Note 2 3 4 3 2" xfId="6070" xr:uid="{91579763-1C39-4326-8900-D31BB5AF09B1}"/>
    <cellStyle name="Note 2 3 4 4" xfId="4331" xr:uid="{F24834B0-CF07-4FD8-8344-8849260E05EB}"/>
    <cellStyle name="Note 2 3 5" xfId="1496" xr:uid="{473EF875-4712-47F7-89AC-7D5E0FAA6823}"/>
    <cellStyle name="Note 2 3 5 2" xfId="3070" xr:uid="{08C82838-B736-42A7-A95B-EFE1E01C54E9}"/>
    <cellStyle name="Note 2 3 5 2 2" xfId="6505" xr:uid="{0AF13238-B136-477E-AD77-E0AADAAA9B72}"/>
    <cellStyle name="Note 2 3 5 3" xfId="4765" xr:uid="{1AC0C092-0FB0-4951-BFCB-F7DDD5B177C4}"/>
    <cellStyle name="Note 2 3 6" xfId="627" xr:uid="{172B0943-5A2D-470C-9A83-50BD329F0B18}"/>
    <cellStyle name="Note 2 3 6 2" xfId="5635" xr:uid="{882C707D-E528-4316-952C-57C4528C3181}"/>
    <cellStyle name="Note 2 3 7" xfId="3920" xr:uid="{5DBD3783-A214-4377-87AF-BC9067A60ECA}"/>
    <cellStyle name="Note 2 4" xfId="248" xr:uid="{F1C27C01-DBDD-4DE1-AB58-5D0408607309}"/>
    <cellStyle name="Note 2 4 2" xfId="457" xr:uid="{C50C1A87-2506-4BA3-B7C9-CC171925B371}"/>
    <cellStyle name="Note 2 4 2 2" xfId="1317" xr:uid="{668B72FE-0F6A-44DE-B173-0CC388633F16}"/>
    <cellStyle name="Note 2 4 2 2 2" xfId="2458" xr:uid="{5783B556-8257-4F7F-8E62-1B6ADC7AAE39}"/>
    <cellStyle name="Note 2 4 2 2 2 2" xfId="3759" xr:uid="{D127CD85-3A95-4B11-BAFB-6230392BD026}"/>
    <cellStyle name="Note 2 4 2 2 2 2 2" xfId="7216" xr:uid="{19177221-64A1-4420-A886-5F2B879277EE}"/>
    <cellStyle name="Note 2 4 2 2 2 3" xfId="5477" xr:uid="{888572AC-CD93-47EB-9CB5-E45ABE664FD1}"/>
    <cellStyle name="Note 2 4 2 2 3" xfId="2912" xr:uid="{0930ACC9-DBF6-438A-8846-7D376729A27B}"/>
    <cellStyle name="Note 2 4 2 2 3 2" xfId="6347" xr:uid="{9285BDD7-D29A-4FF3-B19F-281A0EA4DA63}"/>
    <cellStyle name="Note 2 4 2 2 4" xfId="4607" xr:uid="{89ABA93C-100A-42FE-B35E-ECF135D62D9B}"/>
    <cellStyle name="Note 2 4 2 3" xfId="1774" xr:uid="{1A0F2986-6F96-45E6-B6DC-371E3E9C2C5A}"/>
    <cellStyle name="Note 2 4 2 3 2" xfId="3337" xr:uid="{21B93B0D-E300-4A8A-B6BC-E99132189371}"/>
    <cellStyle name="Note 2 4 2 3 2 2" xfId="6781" xr:uid="{426D1CD9-2195-417F-8DAD-5E155252C6CA}"/>
    <cellStyle name="Note 2 4 2 3 3" xfId="5042" xr:uid="{4E201C20-4931-483C-B907-F0187B819247}"/>
    <cellStyle name="Note 2 4 2 4" xfId="904" xr:uid="{59E7E4B5-F9B7-4351-BA21-A3524CB5B567}"/>
    <cellStyle name="Note 2 4 2 4 2" xfId="5912" xr:uid="{4579708C-7960-4408-B093-F84D2DF28016}"/>
    <cellStyle name="Note 2 4 2 5" xfId="4179" xr:uid="{6B7D6870-5F9C-4051-82D3-668284B500B9}"/>
    <cellStyle name="Note 2 4 3" xfId="1110" xr:uid="{464287BF-AD28-445D-BC27-7088E45F1C40}"/>
    <cellStyle name="Note 2 4 3 2" xfId="2270" xr:uid="{9DADA684-AE2E-406C-911A-46E0B776AFA3}"/>
    <cellStyle name="Note 2 4 3 2 2" xfId="3555" xr:uid="{69E4F08E-437F-40B8-AB6C-17A5EE7CFC0B}"/>
    <cellStyle name="Note 2 4 3 2 2 2" xfId="7009" xr:uid="{4F1F2BE9-FE41-45A3-B9B8-2280CEF40CF2}"/>
    <cellStyle name="Note 2 4 3 2 3" xfId="5270" xr:uid="{B2D7659F-BE98-4C0B-BCB6-28E6A43D8F72}"/>
    <cellStyle name="Note 2 4 3 3" xfId="2708" xr:uid="{F8509AE5-4E6E-42CC-B03A-7F2E72409490}"/>
    <cellStyle name="Note 2 4 3 3 2" xfId="6140" xr:uid="{2D9B2F8B-97F5-4123-BA11-DFE30A9EF587}"/>
    <cellStyle name="Note 2 4 3 4" xfId="4400" xr:uid="{531AE6C0-770C-48C8-8AA1-EAA562C5CD49}"/>
    <cellStyle name="Note 2 4 4" xfId="1584" xr:uid="{3377083D-77A2-4683-8EFB-F55C1A2421B8}"/>
    <cellStyle name="Note 2 4 4 2" xfId="3138" xr:uid="{139D2702-BDA4-4281-9BB1-1338F13195B1}"/>
    <cellStyle name="Note 2 4 4 2 2" xfId="6574" xr:uid="{82BED18A-DD83-483A-8734-DCBC7A205093}"/>
    <cellStyle name="Note 2 4 4 3" xfId="4835" xr:uid="{9E54F5F5-19C4-4D31-81BC-93AA09F23832}"/>
    <cellStyle name="Note 2 4 5" xfId="697" xr:uid="{019AD438-559B-45D1-8966-FE9655663FEE}"/>
    <cellStyle name="Note 2 4 5 2" xfId="5705" xr:uid="{89385AF8-4B8D-4DFC-85A2-3D6DF8455FC7}"/>
    <cellStyle name="Note 2 4 6" xfId="3983" xr:uid="{44374A9B-78FF-446F-A769-B8DC263D104F}"/>
    <cellStyle name="Note 2 5" xfId="362" xr:uid="{AE595FBA-984F-45EC-9727-3D1158A12413}"/>
    <cellStyle name="Note 2 5 2" xfId="1224" xr:uid="{D278260E-1FEE-468B-AEFD-1A598367160C}"/>
    <cellStyle name="Note 2 5 2 2" xfId="2370" xr:uid="{7A787E37-4C6C-48D4-9078-FA316024ADE9}"/>
    <cellStyle name="Note 2 5 2 2 2" xfId="3667" xr:uid="{09E20E62-A240-4C12-9DFE-CF0CA39490E8}"/>
    <cellStyle name="Note 2 5 2 2 2 2" xfId="7123" xr:uid="{56DF8521-527C-438A-B7BB-78092DA42151}"/>
    <cellStyle name="Note 2 5 2 2 3" xfId="5384" xr:uid="{3E7BDABF-9698-4C04-96B9-CDDA9135CD74}"/>
    <cellStyle name="Note 2 5 2 3" xfId="2820" xr:uid="{53D04B10-0AC2-4BF8-83BD-A5513375FAF9}"/>
    <cellStyle name="Note 2 5 2 3 2" xfId="6254" xr:uid="{29ECA727-A967-4FFA-BE36-E6DFCD274C89}"/>
    <cellStyle name="Note 2 5 2 4" xfId="4514" xr:uid="{00E75BC1-FAA7-4575-8F8A-E8B43AB7034A}"/>
    <cellStyle name="Note 2 5 3" xfId="1680" xr:uid="{124FF5D1-BA85-4A82-8EFA-02369F7E1463}"/>
    <cellStyle name="Note 2 5 3 2" xfId="3248" xr:uid="{8F3C9EB3-B18B-4D8A-B39C-9D858572A198}"/>
    <cellStyle name="Note 2 5 3 2 2" xfId="6688" xr:uid="{5E252C20-57A8-4264-9FF3-1DCC2FFD22A1}"/>
    <cellStyle name="Note 2 5 3 3" xfId="4949" xr:uid="{F07DAD8D-2B67-4D91-A720-9C4CBFCF3CD0}"/>
    <cellStyle name="Note 2 5 4" xfId="811" xr:uid="{90998CBC-A071-4C5E-8585-22DAFD2DB8A9}"/>
    <cellStyle name="Note 2 5 4 2" xfId="5819" xr:uid="{CB348C0C-A77D-4E31-AA49-F6D7460DD586}"/>
    <cellStyle name="Note 2 5 5" xfId="4091" xr:uid="{BBB28851-DFC0-44F8-8A3A-A5FB3E714D5C}"/>
    <cellStyle name="Note 2 6" xfId="1011" xr:uid="{8B7EEA3A-2A1F-4B0F-8A51-A432CFFA45A5}"/>
    <cellStyle name="Note 2 6 2" xfId="2187" xr:uid="{7BF916CC-F634-4E67-A02E-4E9D5259353B}"/>
    <cellStyle name="Note 2 6 2 2" xfId="3460" xr:uid="{B5B51265-7661-433B-85EA-9EDE3412D062}"/>
    <cellStyle name="Note 2 6 2 2 2" xfId="6909" xr:uid="{122C8EA9-E483-4663-B27F-8BA0EF468275}"/>
    <cellStyle name="Note 2 6 2 3" xfId="5170" xr:uid="{489784B5-2F07-481C-9274-5966464D649D}"/>
    <cellStyle name="Note 2 6 3" xfId="2617" xr:uid="{F5E959F3-EBB8-4EDC-997D-9F200AE41BB4}"/>
    <cellStyle name="Note 2 6 3 2" xfId="6040" xr:uid="{A76186A9-66A5-431B-995D-0368F3FA494D}"/>
    <cellStyle name="Note 2 6 4" xfId="4302" xr:uid="{F2F82338-CB6F-49A0-A979-11FEE723368F}"/>
    <cellStyle name="Note 2 7" xfId="1465" xr:uid="{98A93B9A-EDF3-4AA8-96AA-25CF577B4930}"/>
    <cellStyle name="Note 2 7 2" xfId="3040" xr:uid="{18BE5CB9-08FB-4BA9-8984-5F4392CF9701}"/>
    <cellStyle name="Note 2 7 2 2" xfId="6475" xr:uid="{181EF1E2-ECA9-48E9-838C-434B77D9DCF0}"/>
    <cellStyle name="Note 2 7 3" xfId="4735" xr:uid="{9F62EE63-F662-4B87-BC89-737FF1197291}"/>
    <cellStyle name="Note 2 8" xfId="597" xr:uid="{A3E0EB6B-C9AB-431E-82ED-3E06A8C0CC56}"/>
    <cellStyle name="Note 2 8 2" xfId="5605" xr:uid="{50380163-5DA9-4D23-8333-6EC26D6E543F}"/>
    <cellStyle name="Note 2 9" xfId="3892" xr:uid="{5C578B02-EC00-4711-988B-5698613B0347}"/>
    <cellStyle name="Note 3" xfId="2017" xr:uid="{ED3F07E7-B456-47F9-A083-0FECCE05046A}"/>
    <cellStyle name="Output" xfId="71" builtinId="21" customBuiltin="1"/>
    <cellStyle name="pe" xfId="46" xr:uid="{D389F5F5-84E6-480B-AC5E-12A13E543C8B}"/>
    <cellStyle name="PEG" xfId="47" xr:uid="{8A04C156-244F-4010-B1E1-6124EFC5F13A}"/>
    <cellStyle name="Percent" xfId="48" builtinId="5"/>
    <cellStyle name="Percent [2]" xfId="49" xr:uid="{60107A0E-78CE-48EC-BBC5-AC8565A7D0D8}"/>
    <cellStyle name="Percent 10" xfId="1420" xr:uid="{1B7AB2E9-A924-4C03-9296-D6281DF0A251}"/>
    <cellStyle name="Percent 10 2" xfId="2098" xr:uid="{BDF2912A-ED1F-47AB-B84C-0D1C1FD531E2}"/>
    <cellStyle name="Percent 10 2 2" xfId="2559" xr:uid="{44F8CDB1-38FC-47CF-997C-DCB27B53C463}"/>
    <cellStyle name="Percent 10 2 2 2" xfId="3866" xr:uid="{DC8505CC-5095-4394-9C76-A56610BC01CA}"/>
    <cellStyle name="Percent 10 2 2 2 2" xfId="7323" xr:uid="{A2713A8B-AB68-422A-9A85-804E766296B2}"/>
    <cellStyle name="Percent 10 2 2 3" xfId="5584" xr:uid="{268568A5-C096-465D-9C90-4A710AF3EE88}"/>
    <cellStyle name="Percent 10 2 3" xfId="3019" xr:uid="{339CE14A-878E-4E8B-B167-D7A52ED3413F}"/>
    <cellStyle name="Percent 10 2 3 2" xfId="6454" xr:uid="{2C0AFC36-03B0-41C8-9CED-6975FC2031C4}"/>
    <cellStyle name="Percent 10 2 4" xfId="4714" xr:uid="{47D3607A-CC90-4282-829E-46709B88FFF4}"/>
    <cellStyle name="Percent 10 3" xfId="2037" xr:uid="{AEAF658D-2D21-4F52-8495-4698BFEB5C70}"/>
    <cellStyle name="Percent 10 3 2" xfId="3439" xr:uid="{B6311DAF-317A-4DD9-BBC0-B1DD23C4CC80}"/>
    <cellStyle name="Percent 10 3 2 2" xfId="6888" xr:uid="{D439869A-3A9B-400A-BB25-3572F0C9073D}"/>
    <cellStyle name="Percent 10 3 3" xfId="5149" xr:uid="{40F8A0F0-77ED-46F5-898F-6E49E9F80224}"/>
    <cellStyle name="Percent 10 4" xfId="2596" xr:uid="{A754F845-2E0A-49FB-92DF-7D162D696177}"/>
    <cellStyle name="Percent 10 4 2" xfId="6019" xr:uid="{4751AA57-3238-402E-854A-4393158E38FB}"/>
    <cellStyle name="Percent 10 5" xfId="4281" xr:uid="{6C4E0D71-493C-4BDC-BEE0-EEF64BE31E9C}"/>
    <cellStyle name="Percent 11" xfId="98" xr:uid="{41A88A03-B49F-49C4-A1F5-64A057EB4DBD}"/>
    <cellStyle name="Percent 2" xfId="50" xr:uid="{9D8120ED-1CD0-4572-BC9F-ECC276F36D64}"/>
    <cellStyle name="Percent 2 2" xfId="200" xr:uid="{669D4E01-D110-4FAF-81D6-96687DD96B93}"/>
    <cellStyle name="Percent 2 3" xfId="220" xr:uid="{FAC9A5FF-5454-43DA-808D-0B4F7446D8C3}"/>
    <cellStyle name="Percent 2 4" xfId="380" xr:uid="{F04E9E79-FCE0-4C3F-A1A0-3FBB09A00F98}"/>
    <cellStyle name="Percent 2 5" xfId="167" xr:uid="{BE533B93-5DF8-4BD2-8525-D73D6A1996D8}"/>
    <cellStyle name="Percent 2 6" xfId="116" xr:uid="{97E5258F-7D30-4F46-A741-A97CC8DB92C0}"/>
    <cellStyle name="Percent 3" xfId="51" xr:uid="{1A1E7958-E75C-45F6-86CF-A783307F29FD}"/>
    <cellStyle name="Percent 3 2" xfId="297" xr:uid="{A2F9767A-4B34-4613-B948-99C1D8ED907A}"/>
    <cellStyle name="Percent 3 2 2" xfId="506" xr:uid="{9E2ED59A-5FD2-44EA-ABBB-E6F2F06688BF}"/>
    <cellStyle name="Percent 3 2 2 2" xfId="1366" xr:uid="{630026FC-C431-4BD2-91D1-AAB2116D04F6}"/>
    <cellStyle name="Percent 3 2 2 2 2" xfId="2503" xr:uid="{615ABD08-DE91-4C8F-A005-4BE9EFA29940}"/>
    <cellStyle name="Percent 3 2 2 2 2 2" xfId="3808" xr:uid="{E656453B-9946-459A-A434-9E424423B6C4}"/>
    <cellStyle name="Percent 3 2 2 2 2 2 2" xfId="7265" xr:uid="{AD4FEECA-C862-40F1-9DAA-27FB02DF55E2}"/>
    <cellStyle name="Percent 3 2 2 2 2 3" xfId="5526" xr:uid="{E7FD6965-5871-4F5B-B742-EB9DDEA88041}"/>
    <cellStyle name="Percent 3 2 2 2 3" xfId="2961" xr:uid="{24A66334-5661-488B-A195-195B01873FCD}"/>
    <cellStyle name="Percent 3 2 2 2 3 2" xfId="6396" xr:uid="{A25CFE5E-A0A6-4327-891E-B274953D62BB}"/>
    <cellStyle name="Percent 3 2 2 2 4" xfId="4656" xr:uid="{5E183A07-0DE5-443C-871D-77848B0507BA}"/>
    <cellStyle name="Percent 3 2 2 3" xfId="1823" xr:uid="{9A58B4E0-8968-48B7-9F72-46D8665CC5B0}"/>
    <cellStyle name="Percent 3 2 2 3 2" xfId="3382" xr:uid="{827DE3DE-EE72-4349-A63B-F0E01823DD97}"/>
    <cellStyle name="Percent 3 2 2 3 2 2" xfId="6830" xr:uid="{C6B9D26B-370A-425A-B541-8CE2EDA9F029}"/>
    <cellStyle name="Percent 3 2 2 3 3" xfId="5091" xr:uid="{B05DA039-5BC8-44DF-B883-D26CBD2851BD}"/>
    <cellStyle name="Percent 3 2 2 4" xfId="953" xr:uid="{BFB68057-61C0-432B-92B6-A0B3B392E8FE}"/>
    <cellStyle name="Percent 3 2 2 4 2" xfId="5961" xr:uid="{EEE0D3E8-F35E-4BE4-BF97-EA637B47B0A0}"/>
    <cellStyle name="Percent 3 2 2 5" xfId="4224" xr:uid="{B08F422F-C29F-4652-B83B-9FBEF5968FA6}"/>
    <cellStyle name="Percent 3 2 3" xfId="1159" xr:uid="{624FBB8C-7820-425C-BE97-2B73AB50625B}"/>
    <cellStyle name="Percent 3 2 3 2" xfId="2314" xr:uid="{2EB7A815-5892-4755-ADB4-AF2069CD579B}"/>
    <cellStyle name="Percent 3 2 3 2 2" xfId="3603" xr:uid="{6439BA24-0D7E-42A5-99D3-B190B8099047}"/>
    <cellStyle name="Percent 3 2 3 2 2 2" xfId="7058" xr:uid="{17D33AB0-6783-47BF-A211-0C4FAAA707A0}"/>
    <cellStyle name="Percent 3 2 3 2 3" xfId="5319" xr:uid="{D7D99D87-4A31-4855-895E-55E87CDCCFD0}"/>
    <cellStyle name="Percent 3 2 3 3" xfId="2756" xr:uid="{F43C8978-F9F7-47EC-81EA-BBC417E165E7}"/>
    <cellStyle name="Percent 3 2 3 3 2" xfId="6189" xr:uid="{C840DC69-DBFE-4564-B692-50016790CA25}"/>
    <cellStyle name="Percent 3 2 3 4" xfId="4449" xr:uid="{C4345E12-81E6-47C3-A474-B078438F76CE}"/>
    <cellStyle name="Percent 3 2 4" xfId="1632" xr:uid="{71305214-21D2-4C33-B82E-5A58B44C400F}"/>
    <cellStyle name="Percent 3 2 4 2" xfId="3184" xr:uid="{2BF96C28-26DE-4A7D-B999-89F7DEAF5BC0}"/>
    <cellStyle name="Percent 3 2 4 2 2" xfId="6623" xr:uid="{726BB544-5E3D-4B59-8CE9-707676C67104}"/>
    <cellStyle name="Percent 3 2 4 3" xfId="4884" xr:uid="{7691635D-649E-4652-A2B1-809EADA771DB}"/>
    <cellStyle name="Percent 3 2 5" xfId="746" xr:uid="{57C0BBEF-1ADF-457F-90E5-0B9B9D0A9A65}"/>
    <cellStyle name="Percent 3 2 5 2" xfId="5754" xr:uid="{79F558C1-4DB7-46F3-8CEA-C1FC83C6C045}"/>
    <cellStyle name="Percent 3 2 6" xfId="4028" xr:uid="{9ABE76CB-FAF8-4D6E-BD5E-2D8A11F0EC06}"/>
    <cellStyle name="Percent 3 3" xfId="344" xr:uid="{406198DD-C7AC-4FFA-BA94-A04AF8444848}"/>
    <cellStyle name="Percent 3 3 2" xfId="1209" xr:uid="{F8442946-1119-4616-8B67-FFF8AE984B28}"/>
    <cellStyle name="Percent 3 3 2 2" xfId="2355" xr:uid="{ED96752D-28ED-4F6E-BE14-2F495B215DAE}"/>
    <cellStyle name="Percent 3 3 2 2 2" xfId="3652" xr:uid="{2072442D-8834-4377-9DB9-F057147DE823}"/>
    <cellStyle name="Percent 3 3 2 2 2 2" xfId="7108" xr:uid="{3BC05527-042A-47EC-991F-9EFFF1143B3D}"/>
    <cellStyle name="Percent 3 3 2 2 3" xfId="5369" xr:uid="{73B288C5-B8CA-4405-B65F-B2658DF319D4}"/>
    <cellStyle name="Percent 3 3 2 3" xfId="2805" xr:uid="{F7BC91E4-F159-4769-BEAD-F0731CA949B2}"/>
    <cellStyle name="Percent 3 3 2 3 2" xfId="6239" xr:uid="{63CCC3E7-0B82-4061-B3D8-ABF046731C2F}"/>
    <cellStyle name="Percent 3 3 2 4" xfId="4499" xr:uid="{371BBE1D-E148-4373-939D-1BF153A8B488}"/>
    <cellStyle name="Percent 3 3 3" xfId="1663" xr:uid="{F8E01491-315A-4D8F-9249-1A82515CF599}"/>
    <cellStyle name="Percent 3 3 3 2" xfId="3233" xr:uid="{BA22B23B-8FAD-40D8-A742-4E75CEEB4730}"/>
    <cellStyle name="Percent 3 3 3 2 2" xfId="6673" xr:uid="{E0C72B0D-B8C7-4692-8B98-68979BF53D0A}"/>
    <cellStyle name="Percent 3 3 3 3" xfId="4934" xr:uid="{2B98E545-B5B0-43AC-874B-94943EE7FE49}"/>
    <cellStyle name="Percent 3 3 4" xfId="796" xr:uid="{CE4A0E80-80C3-4890-98BE-DD709E273AC6}"/>
    <cellStyle name="Percent 3 3 4 2" xfId="5804" xr:uid="{C223CF8E-9AC7-43F3-92FF-285F67AED24B}"/>
    <cellStyle name="Percent 3 3 5" xfId="4076" xr:uid="{451EBEDA-1787-4D77-8BE6-41C1D324B0D1}"/>
    <cellStyle name="Percent 3 4" xfId="546" xr:uid="{16998BD5-E2BA-4089-81C5-DECAC15595CE}"/>
    <cellStyle name="Percent 3 4 2" xfId="1406" xr:uid="{8317A29F-8AC7-41CC-BF56-6546B870BAF0}"/>
    <cellStyle name="Percent 3 4 2 2" xfId="3505" xr:uid="{FE4580B2-E53F-4D7B-9D2A-6B4DB4D6BA74}"/>
    <cellStyle name="Percent 3 4 2 2 2" xfId="6958" xr:uid="{B78275C0-6773-4717-9368-9D61A2F4E97A}"/>
    <cellStyle name="Percent 3 4 2 3" xfId="5219" xr:uid="{421C4139-3725-4088-B490-14F6D8979455}"/>
    <cellStyle name="Percent 3 4 3" xfId="993" xr:uid="{24069165-7610-4977-9589-6BB4AC276292}"/>
    <cellStyle name="Percent 3 4 3 2" xfId="6089" xr:uid="{DC9B63E0-9983-465C-86A8-D8D4C83F1BC1}"/>
    <cellStyle name="Percent 3 4 4" xfId="4350" xr:uid="{8B7A4E2F-7A47-4B30-87D7-AE1B6DBDD200}"/>
    <cellStyle name="Percent 3 5" xfId="1060" xr:uid="{03D95F53-8366-4BA0-A78B-480BAD9F1D0E}"/>
    <cellStyle name="Percent 3 5 2" xfId="3089" xr:uid="{8E877E64-7614-4440-BE24-BC638E2067E5}"/>
    <cellStyle name="Percent 3 5 2 2" xfId="6524" xr:uid="{F79B8725-BDA7-4C19-AE22-D8C85FE71807}"/>
    <cellStyle name="Percent 3 5 3" xfId="4784" xr:uid="{EE4D4ECF-4D38-42AA-B943-9F0264E3B06F}"/>
    <cellStyle name="Percent 3 6" xfId="1421" xr:uid="{D6EC7E7B-2070-4E15-9C78-C62EBDC8D462}"/>
    <cellStyle name="Percent 3 6 2" xfId="5654" xr:uid="{FCF4D043-5AE8-4C86-AA55-B96A68D8BDBD}"/>
    <cellStyle name="Percent 3 7" xfId="646" xr:uid="{31EDE97F-E4E3-48AC-AF5E-CA334A4355E8}"/>
    <cellStyle name="Percent 3 8" xfId="123" xr:uid="{3348CDD4-326F-423A-86FE-436CD48C9CFD}"/>
    <cellStyle name="Percent 4" xfId="212" xr:uid="{F4CBBA79-9663-4FAC-B829-6C4AAEE48C09}"/>
    <cellStyle name="Percent 4 2" xfId="306" xr:uid="{9D0DBC7A-02B6-4433-9B45-ACF738EE46D2}"/>
    <cellStyle name="Percent 4 2 2" xfId="515" xr:uid="{230CB148-E6BC-4282-9F4A-B8A5783DCDF3}"/>
    <cellStyle name="Percent 4 2 2 2" xfId="1375" xr:uid="{9FCE261B-384F-45FE-917A-6C9E503CDF6B}"/>
    <cellStyle name="Percent 4 2 2 2 2" xfId="2511" xr:uid="{4F1BD58E-EB3C-481C-BBAE-11CFC637ECD2}"/>
    <cellStyle name="Percent 4 2 2 2 2 2" xfId="3817" xr:uid="{7DD2177F-4501-491B-B543-A18E99854C41}"/>
    <cellStyle name="Percent 4 2 2 2 2 2 2" xfId="7274" xr:uid="{AA4EB5D1-F476-417A-A386-CF2B298301B8}"/>
    <cellStyle name="Percent 4 2 2 2 2 3" xfId="5535" xr:uid="{D49B4210-EE9A-473B-BFD6-15FF28F6F896}"/>
    <cellStyle name="Percent 4 2 2 2 3" xfId="2970" xr:uid="{40C410C8-E182-4E68-B60E-2ECBD2772E46}"/>
    <cellStyle name="Percent 4 2 2 2 3 2" xfId="6405" xr:uid="{568DBE1C-522C-4EF3-AF54-A99F44F8DB1F}"/>
    <cellStyle name="Percent 4 2 2 2 4" xfId="4665" xr:uid="{B6A8ACF2-F35B-48EF-89D9-4390ED22785F}"/>
    <cellStyle name="Percent 4 2 2 3" xfId="1832" xr:uid="{5EFE7291-621E-4AEF-9D30-BF0E9A5769F3}"/>
    <cellStyle name="Percent 4 2 2 3 2" xfId="3390" xr:uid="{D974F52D-63C9-4D1A-9B3C-A7C513DA677F}"/>
    <cellStyle name="Percent 4 2 2 3 2 2" xfId="6839" xr:uid="{C052D902-940F-4CAA-B262-1AEA775D211E}"/>
    <cellStyle name="Percent 4 2 2 3 3" xfId="5100" xr:uid="{747F0897-F699-4FB9-8296-83D523C617E9}"/>
    <cellStyle name="Percent 4 2 2 4" xfId="962" xr:uid="{186C01C2-B546-4E4B-8AAE-0E1626558D06}"/>
    <cellStyle name="Percent 4 2 2 4 2" xfId="5970" xr:uid="{FEFBCF48-84DE-442F-A889-805B7C42288F}"/>
    <cellStyle name="Percent 4 2 2 5" xfId="4232" xr:uid="{C065DB02-0C13-4F23-A3D7-9A785D395F70}"/>
    <cellStyle name="Percent 4 2 3" xfId="1168" xr:uid="{BDBCAFE4-3400-4A6A-B7BA-157396230437}"/>
    <cellStyle name="Percent 4 2 3 2" xfId="2320" xr:uid="{6E337D3A-6A6E-4589-9570-DB2CF4B67C0C}"/>
    <cellStyle name="Percent 4 2 3 2 2" xfId="3612" xr:uid="{3DB2F9C5-B59A-4A76-AD80-06A9532FF6D5}"/>
    <cellStyle name="Percent 4 2 3 2 2 2" xfId="7067" xr:uid="{55642B20-BCF5-4202-B08C-DA344702F655}"/>
    <cellStyle name="Percent 4 2 3 2 3" xfId="5328" xr:uid="{E2A13AEC-E91E-46CA-905D-67D6CEF59494}"/>
    <cellStyle name="Percent 4 2 3 3" xfId="2765" xr:uid="{0CD2BBAC-EA25-45A4-AB11-7D1C1D238174}"/>
    <cellStyle name="Percent 4 2 3 3 2" xfId="6198" xr:uid="{6BEE8C5E-6F4A-4A11-9680-6F9F3F7C84AF}"/>
    <cellStyle name="Percent 4 2 3 4" xfId="4458" xr:uid="{A65295B9-FE52-461B-A8A3-C492BD7399B6}"/>
    <cellStyle name="Percent 4 2 4" xfId="1636" xr:uid="{737539D5-A0F3-4FD9-862B-7D65A53E3DD5}"/>
    <cellStyle name="Percent 4 2 4 2" xfId="3192" xr:uid="{EB5999E1-688F-45E3-97F2-2EE0DD13E303}"/>
    <cellStyle name="Percent 4 2 4 2 2" xfId="6632" xr:uid="{EB91053E-C440-4833-9ABF-A3C8C6A34B83}"/>
    <cellStyle name="Percent 4 2 4 3" xfId="4893" xr:uid="{400C8C3D-8281-4733-867E-207A57BB6881}"/>
    <cellStyle name="Percent 4 2 5" xfId="755" xr:uid="{430D16BE-7FF8-452F-947A-E40CC3FB60CC}"/>
    <cellStyle name="Percent 4 2 5 2" xfId="5763" xr:uid="{142F1AFD-EF2C-4619-85CB-A0D8ABE0765C}"/>
    <cellStyle name="Percent 4 2 6" xfId="4036" xr:uid="{164DA705-65F2-4F14-B120-C5A95A490A94}"/>
    <cellStyle name="Percent 4 3" xfId="417" xr:uid="{FE6E8AAA-CD10-4CF6-ADBE-C9DB48B82149}"/>
    <cellStyle name="Percent 4 3 2" xfId="1277" xr:uid="{BF7E86DC-08B5-4EBB-9853-78864758E0EC}"/>
    <cellStyle name="Percent 4 3 2 2" xfId="2418" xr:uid="{318EE19F-EC75-42F4-9B6D-41D4AF80F2D6}"/>
    <cellStyle name="Percent 4 3 2 2 2" xfId="3719" xr:uid="{9A26918E-3FE4-4D20-81CE-F73F162E6FDB}"/>
    <cellStyle name="Percent 4 3 2 2 2 2" xfId="7176" xr:uid="{C78BD419-30CB-42C7-AFF3-72F1CCC45176}"/>
    <cellStyle name="Percent 4 3 2 2 3" xfId="5437" xr:uid="{25ED02E7-E318-4B4C-8BAA-E53C009DE91E}"/>
    <cellStyle name="Percent 4 3 2 3" xfId="2872" xr:uid="{00EFA173-F590-4A7D-A296-7E816B617448}"/>
    <cellStyle name="Percent 4 3 2 3 2" xfId="6307" xr:uid="{B84F47FA-35C4-4665-BE9C-2AAD0AF69635}"/>
    <cellStyle name="Percent 4 3 2 4" xfId="4567" xr:uid="{CE58D1A2-EEA4-47B1-BD1F-4F0376C73DB0}"/>
    <cellStyle name="Percent 4 3 3" xfId="1734" xr:uid="{3E64260F-1695-4C5E-850B-9E997436F3BA}"/>
    <cellStyle name="Percent 4 3 3 2" xfId="3297" xr:uid="{F90D6C69-E8E8-4D6A-B86F-4F2EE36416AB}"/>
    <cellStyle name="Percent 4 3 3 2 2" xfId="6741" xr:uid="{B02D556D-E139-46BE-A441-E69CBA126992}"/>
    <cellStyle name="Percent 4 3 3 3" xfId="5002" xr:uid="{CBCA33E6-9BC0-450F-88AE-7F54423589FD}"/>
    <cellStyle name="Percent 4 3 4" xfId="864" xr:uid="{79D1471B-FA27-4644-BB16-C767B00B5B8E}"/>
    <cellStyle name="Percent 4 3 4 2" xfId="5872" xr:uid="{311FCCA3-FF24-40CB-951D-3CD0E8E0C0C7}"/>
    <cellStyle name="Percent 4 3 5" xfId="4139" xr:uid="{6DFEA190-A62F-4B3B-A377-96AC9EDA4B9F}"/>
    <cellStyle name="Percent 4 4" xfId="1068" xr:uid="{2FEE8648-24F1-46CE-A053-8C723441BB96}"/>
    <cellStyle name="Percent 4 4 2" xfId="2235" xr:uid="{B82C4394-F4D0-4EBA-9ECF-25AFD24B2480}"/>
    <cellStyle name="Percent 4 4 2 2" xfId="3513" xr:uid="{21D8F0C1-E3BE-458E-A5A2-B86064DBEFD9}"/>
    <cellStyle name="Percent 4 4 2 2 2" xfId="6967" xr:uid="{3E17B244-3E1B-419E-BCCD-13DE866EFB1B}"/>
    <cellStyle name="Percent 4 4 2 3" xfId="5228" xr:uid="{A2747DF1-64F9-4F2E-869E-EFFEE9231258}"/>
    <cellStyle name="Percent 4 4 3" xfId="2666" xr:uid="{F41B4DC0-DFD5-488F-985D-4286FC2445E0}"/>
    <cellStyle name="Percent 4 4 3 2" xfId="6098" xr:uid="{FEC6CA05-3B05-44C8-AD6E-7E3E38E16577}"/>
    <cellStyle name="Percent 4 4 4" xfId="4358" xr:uid="{986760F4-511B-4C7D-B5FB-66580A5285D2}"/>
    <cellStyle name="Percent 4 5" xfId="1527" xr:uid="{C8F85F98-427E-42B7-A2B2-157A95F399F8}"/>
    <cellStyle name="Percent 4 5 2" xfId="3098" xr:uid="{FAC0876C-DC98-4363-AB2D-127D405828D2}"/>
    <cellStyle name="Percent 4 5 2 2" xfId="6533" xr:uid="{B7708EC1-3A24-4EEC-B599-C0FA8E3B5824}"/>
    <cellStyle name="Percent 4 5 3" xfId="4793" xr:uid="{7BA1693E-AC0B-4D59-A543-379A97485582}"/>
    <cellStyle name="Percent 4 6" xfId="655" xr:uid="{A001EB41-8A68-46AF-8E0E-339958E3D8DD}"/>
    <cellStyle name="Percent 4 6 2" xfId="5663" xr:uid="{6D94AB5A-DDDE-42E9-87E7-5B07AF84049B}"/>
    <cellStyle name="Percent 4 7" xfId="3941" xr:uid="{88851113-4043-494A-B149-A1669512C1E1}"/>
    <cellStyle name="Percent 5" xfId="125" xr:uid="{82BECE6B-DFA5-4BEC-8B2F-FD7F26576F58}"/>
    <cellStyle name="Percent 5 2" xfId="302" xr:uid="{7E236DD8-82A8-4DC3-8B82-7D679650EB3F}"/>
    <cellStyle name="Percent 5 2 2" xfId="511" xr:uid="{79F13A7F-1451-430B-9CF2-82D8CE9D11F2}"/>
    <cellStyle name="Percent 5 2 2 2" xfId="1371" xr:uid="{E617B77A-28EB-4245-ADE6-52920617856F}"/>
    <cellStyle name="Percent 5 2 2 2 2" xfId="2508" xr:uid="{10B95766-7F35-41DA-9EA3-AB733B9FFF4A}"/>
    <cellStyle name="Percent 5 2 2 2 2 2" xfId="3813" xr:uid="{5F5729FA-E352-4B3C-A513-ADB87CE38B3F}"/>
    <cellStyle name="Percent 5 2 2 2 2 2 2" xfId="7270" xr:uid="{D2A744AF-DCCE-4647-84EE-2D6FFB109FCE}"/>
    <cellStyle name="Percent 5 2 2 2 2 3" xfId="5531" xr:uid="{B21AC45A-7BD8-4B89-8ADA-5620186D025F}"/>
    <cellStyle name="Percent 5 2 2 2 3" xfId="2966" xr:uid="{16873525-8199-41E2-8E48-43E379746BE4}"/>
    <cellStyle name="Percent 5 2 2 2 3 2" xfId="6401" xr:uid="{33A94C6D-0F4F-4C4B-AD61-516638FBE0EA}"/>
    <cellStyle name="Percent 5 2 2 2 4" xfId="4661" xr:uid="{9AC6C05F-D854-41FC-B7C8-C363CEB30E3C}"/>
    <cellStyle name="Percent 5 2 2 3" xfId="1828" xr:uid="{3D3E4D81-6955-4095-9599-95DB2A314E00}"/>
    <cellStyle name="Percent 5 2 2 3 2" xfId="3387" xr:uid="{36A8843F-6F26-4CD7-839D-4417D9D00B22}"/>
    <cellStyle name="Percent 5 2 2 3 2 2" xfId="6835" xr:uid="{33363747-1F09-4E53-8CCB-89BC88D634C5}"/>
    <cellStyle name="Percent 5 2 2 3 3" xfId="5096" xr:uid="{89A24C7B-FC94-4B95-9577-8E5A1C3F07CB}"/>
    <cellStyle name="Percent 5 2 2 4" xfId="958" xr:uid="{16745984-189E-4C33-B2F4-3EC1D68B0A8B}"/>
    <cellStyle name="Percent 5 2 2 4 2" xfId="5966" xr:uid="{8A3561E6-854C-4A2E-A9EE-9C8AAA79A4C2}"/>
    <cellStyle name="Percent 5 2 2 5" xfId="4229" xr:uid="{4934F576-EA83-443C-9258-BFF9799C1C71}"/>
    <cellStyle name="Percent 5 2 3" xfId="1164" xr:uid="{2E6ECFEC-26DC-4223-AD45-9339C80E98E2}"/>
    <cellStyle name="Percent 5 2 3 2" xfId="2318" xr:uid="{DA357334-3060-4E6E-8E2D-527016D8F990}"/>
    <cellStyle name="Percent 5 2 3 2 2" xfId="3608" xr:uid="{E1479DC3-798B-43D4-87CB-E8439B7D2310}"/>
    <cellStyle name="Percent 5 2 3 2 2 2" xfId="7063" xr:uid="{B690B971-2A8B-4049-9BF0-6A21C4F52064}"/>
    <cellStyle name="Percent 5 2 3 2 3" xfId="5324" xr:uid="{1A89B617-EEF5-4F90-BD2D-144CA7056E3E}"/>
    <cellStyle name="Percent 5 2 3 3" xfId="2761" xr:uid="{B434BD7E-5FA8-44B1-B607-9E020EB3DD82}"/>
    <cellStyle name="Percent 5 2 3 3 2" xfId="6194" xr:uid="{610B3D44-A0A2-49D6-B32A-4E0CDA84B3E9}"/>
    <cellStyle name="Percent 5 2 3 4" xfId="4454" xr:uid="{958549F0-0808-430A-AB81-BB5E32727D38}"/>
    <cellStyle name="Percent 5 2 4" xfId="1634" xr:uid="{097D91C0-0D58-4C1F-A99F-337827C23203}"/>
    <cellStyle name="Percent 5 2 4 2" xfId="3189" xr:uid="{5568B963-32C7-49CF-AE2C-B176F730A39E}"/>
    <cellStyle name="Percent 5 2 4 2 2" xfId="6628" xr:uid="{A9A243C8-2666-4C52-9458-EBD6127CC904}"/>
    <cellStyle name="Percent 5 2 4 3" xfId="4889" xr:uid="{DD0DB88D-4A23-40DE-BC5A-868A818B5089}"/>
    <cellStyle name="Percent 5 2 5" xfId="751" xr:uid="{977D3DE8-5427-4E36-8D0D-3AD6EEFD925D}"/>
    <cellStyle name="Percent 5 2 5 2" xfId="5759" xr:uid="{AD9A6842-2C76-43C1-A492-1C10231E60E6}"/>
    <cellStyle name="Percent 5 2 6" xfId="4033" xr:uid="{5750920F-AF76-49C9-9247-AB4E2B297B94}"/>
    <cellStyle name="Percent 5 3" xfId="414" xr:uid="{CA3A3BEE-C035-4FD6-A1B0-A484B3764839}"/>
    <cellStyle name="Percent 5 3 2" xfId="1274" xr:uid="{458FB729-935A-4FA0-AA99-508ABB089CE1}"/>
    <cellStyle name="Percent 5 3 2 2" xfId="2416" xr:uid="{E43FA994-09BF-429B-9FB8-39BD65FE9A25}"/>
    <cellStyle name="Percent 5 3 2 2 2" xfId="3716" xr:uid="{3E3711B8-0F4F-461E-8703-7554983BD5D4}"/>
    <cellStyle name="Percent 5 3 2 2 2 2" xfId="7173" xr:uid="{62A47E5F-7491-449A-ABE3-39464E2B079C}"/>
    <cellStyle name="Percent 5 3 2 2 3" xfId="5434" xr:uid="{1006247C-D6B5-4FFA-8524-5D8D7F38FAFD}"/>
    <cellStyle name="Percent 5 3 2 3" xfId="2869" xr:uid="{740D130B-025C-4A9C-A29C-FFA98A5A44DF}"/>
    <cellStyle name="Percent 5 3 2 3 2" xfId="6304" xr:uid="{5C9DA699-A176-43BB-AFE0-67AF3612F70B}"/>
    <cellStyle name="Percent 5 3 2 4" xfId="4564" xr:uid="{BB945852-34D5-42B2-8000-B78F045EA46D}"/>
    <cellStyle name="Percent 5 3 3" xfId="1731" xr:uid="{74099BAE-9AEB-4756-B1BE-0BEBE22E10CA}"/>
    <cellStyle name="Percent 5 3 3 2" xfId="3295" xr:uid="{445E1388-B647-414C-A8C8-AF83280BA22F}"/>
    <cellStyle name="Percent 5 3 3 2 2" xfId="6738" xr:uid="{3FC0017F-F38A-4A72-AE67-CC727E28ADC9}"/>
    <cellStyle name="Percent 5 3 3 3" xfId="4999" xr:uid="{057F7066-DFDC-45F4-AE21-E1BC7C7BB29C}"/>
    <cellStyle name="Percent 5 3 4" xfId="861" xr:uid="{C0B36348-9B15-4060-93AF-04C1F6679B6C}"/>
    <cellStyle name="Percent 5 3 4 2" xfId="5869" xr:uid="{842129A3-9007-4BB5-9609-1B67C5A12ABB}"/>
    <cellStyle name="Percent 5 3 5" xfId="4137" xr:uid="{D7C6FAB6-F9FE-4016-85E3-971A677F7DE0}"/>
    <cellStyle name="Percent 5 4" xfId="547" xr:uid="{CE1DDEDF-8D85-487B-ABF9-94B98A98137D}"/>
    <cellStyle name="Percent 5 4 2" xfId="1407" xr:uid="{D53FE90C-4B46-4A1F-88BF-4761A5FDA23E}"/>
    <cellStyle name="Percent 5 4 2 2" xfId="3510" xr:uid="{3A853D04-EBDB-4DFF-90A5-F9BDF98B3C74}"/>
    <cellStyle name="Percent 5 4 2 2 2" xfId="6963" xr:uid="{331D5655-0ECB-4056-86B3-3C79E18E5CF7}"/>
    <cellStyle name="Percent 5 4 2 3" xfId="5224" xr:uid="{AB2D7261-8556-4CF8-9190-8DFBD7180CCB}"/>
    <cellStyle name="Percent 5 4 3" xfId="994" xr:uid="{5EA1F8B0-3EF4-48B5-B195-008E5A6B7209}"/>
    <cellStyle name="Percent 5 4 3 2" xfId="6094" xr:uid="{DD450CAF-5FC7-45A0-8BB4-531980EB6CD1}"/>
    <cellStyle name="Percent 5 4 4" xfId="4355" xr:uid="{76974A69-E288-4E37-8AA3-23FE5B11EF1A}"/>
    <cellStyle name="Percent 5 5" xfId="1064" xr:uid="{074F8F19-A793-4FB0-9C61-719A2378B2F9}"/>
    <cellStyle name="Percent 5 5 2" xfId="3094" xr:uid="{2A6378A0-C272-4D34-AD6C-CBD6F42D2A40}"/>
    <cellStyle name="Percent 5 5 2 2" xfId="6529" xr:uid="{24F227DA-C006-45D5-AE93-E5FC8AD57D54}"/>
    <cellStyle name="Percent 5 5 3" xfId="4789" xr:uid="{97E43620-1FDB-40BD-A24D-4132B48B8C50}"/>
    <cellStyle name="Percent 5 6" xfId="1422" xr:uid="{655DDF8D-5897-46CE-A015-5B5E92330293}"/>
    <cellStyle name="Percent 5 6 2" xfId="5659" xr:uid="{2CC26837-4C7A-40D5-A104-B087069BE8EE}"/>
    <cellStyle name="Percent 5 7" xfId="651" xr:uid="{7017192A-B0C4-4562-9DC7-E3DCC2FD6335}"/>
    <cellStyle name="Percent 6" xfId="218" xr:uid="{366F6B63-DDE8-41A6-8470-ACFB347FFC09}"/>
    <cellStyle name="Percent 6 2" xfId="311" xr:uid="{063F3477-A63D-4F1E-BA06-177FBD6E0977}"/>
    <cellStyle name="Percent 6 2 2" xfId="520" xr:uid="{961A949F-9073-476E-8C5F-AA183E18C847}"/>
    <cellStyle name="Percent 6 2 2 2" xfId="1380" xr:uid="{A461393A-D3F6-4A00-B3D0-AFD10D60D6D6}"/>
    <cellStyle name="Percent 6 2 2 2 2" xfId="2516" xr:uid="{9D58B785-4A20-448C-B9CE-D3AE41520011}"/>
    <cellStyle name="Percent 6 2 2 2 2 2" xfId="3822" xr:uid="{FA55498D-77AF-4362-810D-CA30647C7C03}"/>
    <cellStyle name="Percent 6 2 2 2 2 2 2" xfId="7279" xr:uid="{459D8627-5B60-4545-A4E3-E85096B5FA20}"/>
    <cellStyle name="Percent 6 2 2 2 2 3" xfId="5540" xr:uid="{F2314D62-D193-4405-ADF5-A64E95766051}"/>
    <cellStyle name="Percent 6 2 2 2 3" xfId="2975" xr:uid="{DAA909A1-399A-47B2-860C-52F064569A87}"/>
    <cellStyle name="Percent 6 2 2 2 3 2" xfId="6410" xr:uid="{D73A0D8E-E40B-49D9-B7B9-09F05D0CBE7D}"/>
    <cellStyle name="Percent 6 2 2 2 4" xfId="4670" xr:uid="{349453A4-8FD2-4EC1-BD84-5EEECE2BD300}"/>
    <cellStyle name="Percent 6 2 2 3" xfId="1837" xr:uid="{4BC6EAD2-3CC6-4C46-9353-1BD2353070DB}"/>
    <cellStyle name="Percent 6 2 2 3 2" xfId="3395" xr:uid="{76E4128B-1242-4AF8-874B-A7A6812921AC}"/>
    <cellStyle name="Percent 6 2 2 3 2 2" xfId="6844" xr:uid="{DEB7ADE9-3503-4F67-8285-780C5A42E0E8}"/>
    <cellStyle name="Percent 6 2 2 3 3" xfId="5105" xr:uid="{9FC0331C-0CC3-4CA1-B2BF-D66D88FCCBD3}"/>
    <cellStyle name="Percent 6 2 2 4" xfId="967" xr:uid="{61889BD8-AB4D-4C2D-A29E-87A96538662D}"/>
    <cellStyle name="Percent 6 2 2 4 2" xfId="5975" xr:uid="{9FF2D1BE-69CC-4ECB-A346-D7CDF93553D9}"/>
    <cellStyle name="Percent 6 2 2 5" xfId="4237" xr:uid="{01F74F87-2FA0-4ACC-A9FF-D10EA6889877}"/>
    <cellStyle name="Percent 6 2 3" xfId="1173" xr:uid="{F53B6C0F-4012-4BC6-BD32-8876666F0ACE}"/>
    <cellStyle name="Percent 6 2 3 2" xfId="2324" xr:uid="{CB750AD9-CABE-4088-9034-34B411F322E1}"/>
    <cellStyle name="Percent 6 2 3 2 2" xfId="3617" xr:uid="{13E5D4AB-2FD5-41BD-BD84-8E61362ED8CA}"/>
    <cellStyle name="Percent 6 2 3 2 2 2" xfId="7072" xr:uid="{3E5ED63E-B713-47E8-BC45-34D8C945F32C}"/>
    <cellStyle name="Percent 6 2 3 2 3" xfId="5333" xr:uid="{3D8F2DED-0A60-41B8-8668-5D29D79EC368}"/>
    <cellStyle name="Percent 6 2 3 3" xfId="2770" xr:uid="{EB3898CB-94EB-4012-AEDD-841E8DAC0119}"/>
    <cellStyle name="Percent 6 2 3 3 2" xfId="6203" xr:uid="{4F0BEC7C-A37D-4F51-A6CC-3E44AEDF0CB7}"/>
    <cellStyle name="Percent 6 2 3 4" xfId="4463" xr:uid="{184774D6-69DF-4A23-8621-45A032322E03}"/>
    <cellStyle name="Percent 6 2 4" xfId="1638" xr:uid="{5A2D2C47-E20B-4CEB-9544-3C8727CFAF69}"/>
    <cellStyle name="Percent 6 2 4 2" xfId="3197" xr:uid="{35CC43E7-9344-4CA2-A122-AE57085047D3}"/>
    <cellStyle name="Percent 6 2 4 2 2" xfId="6637" xr:uid="{DB0AE59D-5110-4DAA-A0CE-9A2C9AD6DB03}"/>
    <cellStyle name="Percent 6 2 4 3" xfId="4898" xr:uid="{0BBF21D4-AF72-4598-98EF-942E1DB91737}"/>
    <cellStyle name="Percent 6 2 5" xfId="760" xr:uid="{EA1A4107-16A1-4A18-B563-A1E854B8A37F}"/>
    <cellStyle name="Percent 6 2 5 2" xfId="5768" xr:uid="{93CA39C0-1EEF-41D8-AA27-2A68447E8280}"/>
    <cellStyle name="Percent 6 2 6" xfId="4041" xr:uid="{13F9054D-6283-445B-92BD-61966E103E65}"/>
    <cellStyle name="Percent 6 3" xfId="422" xr:uid="{B3838CE5-3E69-465D-AF03-AD7BB8CE5A71}"/>
    <cellStyle name="Percent 6 3 2" xfId="1282" xr:uid="{15521929-1907-4162-A581-B52D301480B7}"/>
    <cellStyle name="Percent 6 3 2 2" xfId="2423" xr:uid="{A655835E-3641-450F-AAA3-2C53DE6B72D0}"/>
    <cellStyle name="Percent 6 3 2 2 2" xfId="3724" xr:uid="{16510A55-49CF-44F9-A95E-02BA753A8C09}"/>
    <cellStyle name="Percent 6 3 2 2 2 2" xfId="7181" xr:uid="{5D3BB290-E061-48FD-8CFB-CFE0D95A6222}"/>
    <cellStyle name="Percent 6 3 2 2 3" xfId="5442" xr:uid="{1BC8311E-63BE-48E6-92F4-B754476C59E7}"/>
    <cellStyle name="Percent 6 3 2 3" xfId="2877" xr:uid="{EA3E5F10-4F00-4449-9DEE-33D0E4B61A93}"/>
    <cellStyle name="Percent 6 3 2 3 2" xfId="6312" xr:uid="{09CF5A22-0B10-4D17-93EF-2A485FA04318}"/>
    <cellStyle name="Percent 6 3 2 4" xfId="4572" xr:uid="{1CF372CC-5AE9-4F41-A6DF-4281345A7BF1}"/>
    <cellStyle name="Percent 6 3 3" xfId="1739" xr:uid="{35727B0E-F4D7-4D0D-BF16-E36D74497B32}"/>
    <cellStyle name="Percent 6 3 3 2" xfId="3302" xr:uid="{59DC857C-C3F4-4FDB-B156-4B00F35E8989}"/>
    <cellStyle name="Percent 6 3 3 2 2" xfId="6746" xr:uid="{46B7C4EA-191C-493C-8A61-9E21B22C73EF}"/>
    <cellStyle name="Percent 6 3 3 3" xfId="5007" xr:uid="{0D2DF8AF-40E8-4D91-8074-FDD7E119FEA4}"/>
    <cellStyle name="Percent 6 3 4" xfId="869" xr:uid="{7D014F91-5F06-4506-AD15-A18112D9693F}"/>
    <cellStyle name="Percent 6 3 4 2" xfId="5877" xr:uid="{021B3748-C18F-4ABC-8C48-19F0EE5163E0}"/>
    <cellStyle name="Percent 6 3 5" xfId="4144" xr:uid="{848EBE48-B7C7-4EAB-9403-4A821F990E62}"/>
    <cellStyle name="Percent 6 4" xfId="1073" xr:uid="{32DDF566-7178-44D4-A185-02B82A9D08AF}"/>
    <cellStyle name="Percent 6 4 2" xfId="2240" xr:uid="{EA907EBE-4815-437A-B772-381B8BE57BE2}"/>
    <cellStyle name="Percent 6 4 2 2" xfId="3518" xr:uid="{5FE498C0-AB77-49BA-8EA7-1601A1A38863}"/>
    <cellStyle name="Percent 6 4 2 2 2" xfId="6972" xr:uid="{00682BDD-BC56-4487-8E0F-097B0F873155}"/>
    <cellStyle name="Percent 6 4 2 3" xfId="5233" xr:uid="{015086E6-A79B-45A6-AE42-86B2C15E4636}"/>
    <cellStyle name="Percent 6 4 3" xfId="2671" xr:uid="{4B253034-39D8-4AF8-AEEF-236AA168075A}"/>
    <cellStyle name="Percent 6 4 3 2" xfId="6103" xr:uid="{0CF8BE53-01CF-4221-BE72-38D3D1DA0DDA}"/>
    <cellStyle name="Percent 6 4 4" xfId="4363" xr:uid="{D4363FF9-EC1B-43A2-BCD6-A3C26974351E}"/>
    <cellStyle name="Percent 6 5" xfId="1533" xr:uid="{F1386BDC-4CD0-4177-81C8-3DC82956F50B}"/>
    <cellStyle name="Percent 6 5 2" xfId="3103" xr:uid="{69C360DC-927E-460F-88C2-F9430BAF487A}"/>
    <cellStyle name="Percent 6 5 2 2" xfId="6538" xr:uid="{7C197694-E967-48AC-963F-7DC537A56C31}"/>
    <cellStyle name="Percent 6 5 3" xfId="4798" xr:uid="{F38E2754-FE21-423B-83C2-C8AAF9CBB467}"/>
    <cellStyle name="Percent 6 6" xfId="660" xr:uid="{6911322D-9A27-4E6E-9815-327AD5AC858A}"/>
    <cellStyle name="Percent 6 6 2" xfId="5668" xr:uid="{476F4946-D1F0-4354-8174-DDE00BF5D286}"/>
    <cellStyle name="Percent 6 7" xfId="3946" xr:uid="{C3CAAE0D-5D65-4738-8EB9-CFB3279398E5}"/>
    <cellStyle name="Percent 7" xfId="223" xr:uid="{A9237D69-12E2-4DBE-9527-B7A0A0D23705}"/>
    <cellStyle name="Percent 7 2" xfId="316" xr:uid="{F0B3B611-0BEF-488E-9D1E-A63B8DF27E8D}"/>
    <cellStyle name="Percent 7 2 2" xfId="526" xr:uid="{47E1AB24-C648-481A-A505-732196A1596D}"/>
    <cellStyle name="Percent 7 2 2 2" xfId="1386" xr:uid="{1BCE13A1-0BAB-459E-BE70-4E0B4727CD75}"/>
    <cellStyle name="Percent 7 2 2 2 2" xfId="2522" xr:uid="{0F7F135F-B639-4BDC-A492-FC0B6895DA4E}"/>
    <cellStyle name="Percent 7 2 2 2 2 2" xfId="3828" xr:uid="{596C007F-3BB8-4272-95E0-819F741A6157}"/>
    <cellStyle name="Percent 7 2 2 2 2 2 2" xfId="7285" xr:uid="{AB669743-03A5-401B-9BEA-38AB68736788}"/>
    <cellStyle name="Percent 7 2 2 2 2 3" xfId="5546" xr:uid="{395FA623-7F80-4D7C-A8C3-37FED8CFB058}"/>
    <cellStyle name="Percent 7 2 2 2 3" xfId="2981" xr:uid="{DA843391-50AC-4D38-BFAC-D639B55E7B6D}"/>
    <cellStyle name="Percent 7 2 2 2 3 2" xfId="6416" xr:uid="{456E8D6E-FA7D-42FC-A441-342E6CC2203A}"/>
    <cellStyle name="Percent 7 2 2 2 4" xfId="4676" xr:uid="{B9C6DD0C-E04C-4CF9-9A40-961FD7CC8AD6}"/>
    <cellStyle name="Percent 7 2 2 3" xfId="1843" xr:uid="{1C502CD3-C1DE-40F2-B24D-4592AB58E44C}"/>
    <cellStyle name="Percent 7 2 2 3 2" xfId="3401" xr:uid="{0261DF46-2350-4CC6-B3A0-F6756ABF684B}"/>
    <cellStyle name="Percent 7 2 2 3 2 2" xfId="6850" xr:uid="{928A128F-C4BC-4B64-AD5D-243EF15D7EBC}"/>
    <cellStyle name="Percent 7 2 2 3 3" xfId="5111" xr:uid="{583A216C-DD74-4B4D-B5E6-D03E543D1E4F}"/>
    <cellStyle name="Percent 7 2 2 4" xfId="973" xr:uid="{DACCA0DA-40FC-447C-B4D6-31DB423DCA04}"/>
    <cellStyle name="Percent 7 2 2 4 2" xfId="5981" xr:uid="{DDB385B3-393E-478F-97C7-7D0E76615E80}"/>
    <cellStyle name="Percent 7 2 2 5" xfId="4243" xr:uid="{EF08C9AA-B4C4-42B5-9021-485663ECAD53}"/>
    <cellStyle name="Percent 7 2 3" xfId="1179" xr:uid="{2105EE35-7897-4DB8-9327-C586BE84CF8B}"/>
    <cellStyle name="Percent 7 2 3 2" xfId="2330" xr:uid="{B02C2435-03B1-4BEE-8923-5194B9BB73AC}"/>
    <cellStyle name="Percent 7 2 3 2 2" xfId="3623" xr:uid="{B63C81DE-75E1-4281-AB7D-76E313B9618D}"/>
    <cellStyle name="Percent 7 2 3 2 2 2" xfId="7078" xr:uid="{4ACBA571-4906-4469-84FE-03BAAC1EB467}"/>
    <cellStyle name="Percent 7 2 3 2 3" xfId="5339" xr:uid="{46A176D9-745F-420D-BA57-1C33470D5B35}"/>
    <cellStyle name="Percent 7 2 3 3" xfId="2776" xr:uid="{E09317C4-FBFF-43AA-A3B4-E25B749D1D44}"/>
    <cellStyle name="Percent 7 2 3 3 2" xfId="6209" xr:uid="{07869F9E-38CF-4AA6-9013-FAD219B7E19A}"/>
    <cellStyle name="Percent 7 2 3 4" xfId="4469" xr:uid="{E5A19816-9C25-4A99-8074-A5B0E20D501E}"/>
    <cellStyle name="Percent 7 2 4" xfId="1643" xr:uid="{771ECB23-986E-4F95-B049-FC2A665AC222}"/>
    <cellStyle name="Percent 7 2 4 2" xfId="3203" xr:uid="{A0FA0DCA-71AB-46AE-8C99-BFBC702F0F0A}"/>
    <cellStyle name="Percent 7 2 4 2 2" xfId="6643" xr:uid="{12B925F3-F2AF-4764-8817-D326FED1708C}"/>
    <cellStyle name="Percent 7 2 4 3" xfId="4904" xr:uid="{B50A3544-FDF0-4411-9B1E-7168D3805EE8}"/>
    <cellStyle name="Percent 7 2 5" xfId="766" xr:uid="{A91ED715-8DA0-42FB-8F29-692588B06410}"/>
    <cellStyle name="Percent 7 2 5 2" xfId="5774" xr:uid="{8BE5404D-146E-4261-9266-8779A15AA13E}"/>
    <cellStyle name="Percent 7 2 6" xfId="4047" xr:uid="{060EC0C7-9664-44BA-A1B0-2042EC312700}"/>
    <cellStyle name="Percent 7 3" xfId="428" xr:uid="{438E144C-A4AE-4634-A7EF-520351137727}"/>
    <cellStyle name="Percent 7 3 2" xfId="1288" xr:uid="{00614BC3-8C64-4AFE-B669-FED09D05EB29}"/>
    <cellStyle name="Percent 7 3 2 2" xfId="2429" xr:uid="{BDB8644A-904D-4C1E-9625-63C7DDD52842}"/>
    <cellStyle name="Percent 7 3 2 2 2" xfId="3730" xr:uid="{735A4374-A159-4A12-A6B6-1AF0BB89A90A}"/>
    <cellStyle name="Percent 7 3 2 2 2 2" xfId="7187" xr:uid="{DBC68E79-DBCB-4CD9-B2F3-E0FF876438A5}"/>
    <cellStyle name="Percent 7 3 2 2 3" xfId="5448" xr:uid="{07318A7D-A02C-4620-8A6D-4E445C98CC43}"/>
    <cellStyle name="Percent 7 3 2 3" xfId="2883" xr:uid="{D8597ED3-F54F-41F9-B760-8C25D2F0F523}"/>
    <cellStyle name="Percent 7 3 2 3 2" xfId="6318" xr:uid="{779430B5-B229-4CAF-BFB5-6527797EEB5C}"/>
    <cellStyle name="Percent 7 3 2 4" xfId="4578" xr:uid="{4E64A5E9-26EE-4379-9CF6-B52C63C5537A}"/>
    <cellStyle name="Percent 7 3 3" xfId="1745" xr:uid="{AD37E445-2BF0-4FCE-805A-BAF7CBD3B59D}"/>
    <cellStyle name="Percent 7 3 3 2" xfId="3308" xr:uid="{58981329-6077-4F55-9DAE-8B61B795D9D6}"/>
    <cellStyle name="Percent 7 3 3 2 2" xfId="6752" xr:uid="{E50C53BC-2944-4943-92D4-1D18E502EA4B}"/>
    <cellStyle name="Percent 7 3 3 3" xfId="5013" xr:uid="{A1BACDE7-BE48-403A-97C0-EF9CA3B28A63}"/>
    <cellStyle name="Percent 7 3 4" xfId="875" xr:uid="{8199260F-4642-4FF9-87F5-2AC1AACF2869}"/>
    <cellStyle name="Percent 7 3 4 2" xfId="5883" xr:uid="{F8CDDC24-B231-4674-82F3-85239D001372}"/>
    <cellStyle name="Percent 7 3 5" xfId="4150" xr:uid="{71FDC17A-9D18-428A-ADE0-B508E477FDA4}"/>
    <cellStyle name="Percent 7 4" xfId="1079" xr:uid="{8A4FC16E-23BC-4A4B-87C8-075FC694DEEB}"/>
    <cellStyle name="Percent 7 4 2" xfId="2244" xr:uid="{3886798D-5EB2-4EE7-B664-52C9A41209DC}"/>
    <cellStyle name="Percent 7 4 2 2" xfId="3524" xr:uid="{43919BBD-A744-4B21-A266-9FEA3B1B5220}"/>
    <cellStyle name="Percent 7 4 2 2 2" xfId="6978" xr:uid="{2F20E6C6-D414-41FB-8FB7-C1C5704B2DCD}"/>
    <cellStyle name="Percent 7 4 2 3" xfId="5239" xr:uid="{40F59C58-04AD-4417-A784-C6F4B3DDE471}"/>
    <cellStyle name="Percent 7 4 3" xfId="2677" xr:uid="{6AA47163-00EE-4133-8066-88CB4A71FF39}"/>
    <cellStyle name="Percent 7 4 3 2" xfId="6109" xr:uid="{A0F0B403-2F0A-4F5C-971C-A7DD479026B9}"/>
    <cellStyle name="Percent 7 4 4" xfId="4369" xr:uid="{BDA018EE-B03E-4398-9C29-6AF35FA4A6A9}"/>
    <cellStyle name="Percent 7 5" xfId="1539" xr:uid="{A8F80153-E617-4684-85B4-C393367A7B8F}"/>
    <cellStyle name="Percent 7 5 2" xfId="3109" xr:uid="{54589F4D-CB50-4ACE-AA86-C23D98E76B62}"/>
    <cellStyle name="Percent 7 5 2 2" xfId="6544" xr:uid="{064D94E7-5B81-47BB-ABE9-1815BFC41B77}"/>
    <cellStyle name="Percent 7 5 3" xfId="4804" xr:uid="{A9AC7049-A75B-4C3F-B185-EC58CF4E13F3}"/>
    <cellStyle name="Percent 7 6" xfId="666" xr:uid="{8478AB7A-7DD3-4223-978E-BC8C3F5E4790}"/>
    <cellStyle name="Percent 7 6 2" xfId="5674" xr:uid="{EDFD5DC0-08CF-4931-841A-C956524B56A5}"/>
    <cellStyle name="Percent 7 7" xfId="3952" xr:uid="{EBD23577-2565-4C6B-9866-DAB5562DD62F}"/>
    <cellStyle name="Percent 8" xfId="229" xr:uid="{FA1F9753-CD64-47F5-86EA-08AB9E0AE385}"/>
    <cellStyle name="Percent 8 2" xfId="327" xr:uid="{947264D9-0BFB-4C73-9D29-482B937270CF}"/>
    <cellStyle name="Percent 8 2 2" xfId="537" xr:uid="{49C4AB0F-849B-4AED-A900-281156EE8750}"/>
    <cellStyle name="Percent 8 2 2 2" xfId="1397" xr:uid="{5E30BD1C-F7AA-43B1-A449-56E517A406FE}"/>
    <cellStyle name="Percent 8 2 2 2 2" xfId="2533" xr:uid="{CBF37761-FE67-43E4-A2F2-C2D735113C46}"/>
    <cellStyle name="Percent 8 2 2 2 2 2" xfId="3839" xr:uid="{C0145579-5110-40A3-A8ED-DBD556026A3D}"/>
    <cellStyle name="Percent 8 2 2 2 2 2 2" xfId="7296" xr:uid="{0DB72F56-361C-461A-A075-C59CC542DA9E}"/>
    <cellStyle name="Percent 8 2 2 2 2 3" xfId="5557" xr:uid="{83C603B7-5CA4-4412-A1E6-701A4DDCB85F}"/>
    <cellStyle name="Percent 8 2 2 2 3" xfId="2992" xr:uid="{B5C8DECF-D271-4253-9505-A2FE2AE4D824}"/>
    <cellStyle name="Percent 8 2 2 2 3 2" xfId="6427" xr:uid="{528D34E3-9B66-461B-AC40-55AA38B26BF0}"/>
    <cellStyle name="Percent 8 2 2 2 4" xfId="4687" xr:uid="{9834FA75-6463-4955-97BD-292FA64E4F81}"/>
    <cellStyle name="Percent 8 2 2 3" xfId="1854" xr:uid="{28C7415C-0B18-4E9D-A975-DA40CE554CE7}"/>
    <cellStyle name="Percent 8 2 2 3 2" xfId="3412" xr:uid="{55BC266B-BC87-4A2F-B0A8-4A850533DDA6}"/>
    <cellStyle name="Percent 8 2 2 3 2 2" xfId="6861" xr:uid="{AECC5FDA-A316-494B-92CD-AB74154A132C}"/>
    <cellStyle name="Percent 8 2 2 3 3" xfId="5122" xr:uid="{1A3EFD26-8128-4941-B1FF-F6241B3F6C8B}"/>
    <cellStyle name="Percent 8 2 2 4" xfId="984" xr:uid="{9EB46CAC-BF54-409C-8067-1C116C481B72}"/>
    <cellStyle name="Percent 8 2 2 4 2" xfId="5992" xr:uid="{4290D9E0-A39A-4566-8BA7-34CFEFF6C215}"/>
    <cellStyle name="Percent 8 2 2 5" xfId="4254" xr:uid="{1311AB3D-25A5-4835-87D7-B7894C9F0E95}"/>
    <cellStyle name="Percent 8 2 3" xfId="1190" xr:uid="{0359C151-5AAD-4A48-9DB1-5A18CB3C4A7B}"/>
    <cellStyle name="Percent 8 2 3 2" xfId="2338" xr:uid="{8DB67499-9FD1-4FF9-B631-8540F35B0861}"/>
    <cellStyle name="Percent 8 2 3 2 2" xfId="3634" xr:uid="{5CC39F55-6527-445E-8401-F6B3DA4D23F2}"/>
    <cellStyle name="Percent 8 2 3 2 2 2" xfId="7089" xr:uid="{0DF50F0D-DF83-4EB8-9563-3BD26B8D6DC0}"/>
    <cellStyle name="Percent 8 2 3 2 3" xfId="5350" xr:uid="{D0E214BE-181C-4110-AC68-02E02DE55583}"/>
    <cellStyle name="Percent 8 2 3 3" xfId="2787" xr:uid="{34F27E6D-B23C-46FD-8133-A367A80F8FF9}"/>
    <cellStyle name="Percent 8 2 3 3 2" xfId="6220" xr:uid="{CCDCCD33-0561-4663-B4BE-FD3920D7F207}"/>
    <cellStyle name="Percent 8 2 3 4" xfId="4480" xr:uid="{B8AE517F-F14B-4DC7-A1A7-48D6979D16EA}"/>
    <cellStyle name="Percent 8 2 4" xfId="1648" xr:uid="{D5705AED-3C30-4EF2-A7A9-0ADA64631B5A}"/>
    <cellStyle name="Percent 8 2 4 2" xfId="3214" xr:uid="{66DAEB75-6AB9-4C50-87C1-4C7A6D123207}"/>
    <cellStyle name="Percent 8 2 4 2 2" xfId="6654" xr:uid="{FC7DF43E-6A04-48CE-BA11-2138202CAD72}"/>
    <cellStyle name="Percent 8 2 4 3" xfId="4915" xr:uid="{0CA59051-287C-4DA3-AD44-58578703874E}"/>
    <cellStyle name="Percent 8 2 5" xfId="777" xr:uid="{58018DC5-7B26-4107-B642-1EF331EB97B9}"/>
    <cellStyle name="Percent 8 2 5 2" xfId="5785" xr:uid="{7812058F-AEF3-4208-AD2D-4FB6F2546E61}"/>
    <cellStyle name="Percent 8 2 6" xfId="4058" xr:uid="{589C7646-881D-4849-AB58-DBEFF80B3E2D}"/>
    <cellStyle name="Percent 8 3" xfId="438" xr:uid="{C42F41F6-EA39-4102-AB16-92A70D104210}"/>
    <cellStyle name="Percent 8 3 2" xfId="1298" xr:uid="{AFC62E21-B639-40F7-95E2-71EC0AB74806}"/>
    <cellStyle name="Percent 8 3 2 2" xfId="2439" xr:uid="{707D78DA-8B85-4CB8-84FD-3489AE02C9E3}"/>
    <cellStyle name="Percent 8 3 2 2 2" xfId="3740" xr:uid="{BFC78C95-C61E-40B0-ADA5-1BFF3F5E55A9}"/>
    <cellStyle name="Percent 8 3 2 2 2 2" xfId="7197" xr:uid="{5DD8FE2D-2452-4049-8752-C0E1073C894E}"/>
    <cellStyle name="Percent 8 3 2 2 3" xfId="5458" xr:uid="{BFE63CCD-57D2-4689-9FDD-52B8F5559DF9}"/>
    <cellStyle name="Percent 8 3 2 3" xfId="2893" xr:uid="{F83F7615-52BA-418F-B366-727A1AFFD4B0}"/>
    <cellStyle name="Percent 8 3 2 3 2" xfId="6328" xr:uid="{D8961A69-0D79-42D9-A69A-B233909E3497}"/>
    <cellStyle name="Percent 8 3 2 4" xfId="4588" xr:uid="{C52425D9-6A4D-471E-BCFA-E09BD2BED18E}"/>
    <cellStyle name="Percent 8 3 3" xfId="1755" xr:uid="{71E8E185-3E81-4CCB-96F1-FD7BFAB16E50}"/>
    <cellStyle name="Percent 8 3 3 2" xfId="3318" xr:uid="{F940F3AC-6F45-48E8-AA99-02D7CBAC6A68}"/>
    <cellStyle name="Percent 8 3 3 2 2" xfId="6762" xr:uid="{63712FDF-B93A-4C94-BADA-F46CA6C4C43A}"/>
    <cellStyle name="Percent 8 3 3 3" xfId="5023" xr:uid="{A2320305-E48C-4A03-8BEC-34AE4E3DFC30}"/>
    <cellStyle name="Percent 8 3 4" xfId="885" xr:uid="{58B20093-F171-4546-9C34-243A831D829E}"/>
    <cellStyle name="Percent 8 3 4 2" xfId="5893" xr:uid="{1900381C-199A-4309-BFBC-2D5DDA0F6595}"/>
    <cellStyle name="Percent 8 3 5" xfId="4160" xr:uid="{A6645B90-EBC7-41CF-8F13-F05905BB8275}"/>
    <cellStyle name="Percent 8 4" xfId="1090" xr:uid="{DA77E43C-54A8-449A-BF79-128B2350651F}"/>
    <cellStyle name="Percent 8 4 2" xfId="2253" xr:uid="{5EF9EB19-7078-42C7-A467-D2A50FC276FF}"/>
    <cellStyle name="Percent 8 4 2 2" xfId="3535" xr:uid="{F7E8BA4F-28CC-44B1-AEFB-FFE313E40F01}"/>
    <cellStyle name="Percent 8 4 2 2 2" xfId="6989" xr:uid="{69607B15-ECAD-49FA-BF2D-E89AD71F42F2}"/>
    <cellStyle name="Percent 8 4 2 3" xfId="5250" xr:uid="{B279A6E0-5EDF-4BDC-A5C7-CD14F9FDF58C}"/>
    <cellStyle name="Percent 8 4 3" xfId="2688" xr:uid="{F6B7E790-D32B-4C8A-BB68-25953F63C874}"/>
    <cellStyle name="Percent 8 4 3 2" xfId="6120" xr:uid="{7BB24F1C-EFA0-462F-B204-ABC0DBC685D8}"/>
    <cellStyle name="Percent 8 4 4" xfId="4380" xr:uid="{03EC08A2-E5BC-4CB0-814D-2B8AB3B5AF01}"/>
    <cellStyle name="Percent 8 5" xfId="1549" xr:uid="{91CEA4D1-5995-42F1-B4C3-447E47963C96}"/>
    <cellStyle name="Percent 8 5 2" xfId="3118" xr:uid="{F6FCEB87-B749-4549-98D8-2C0243C21A2C}"/>
    <cellStyle name="Percent 8 5 2 2" xfId="6554" xr:uid="{C538F549-3E61-4609-BC1B-5F5C7559B707}"/>
    <cellStyle name="Percent 8 5 3" xfId="4815" xr:uid="{1DD4CAE9-76F6-4589-B710-CE2A20A54BE2}"/>
    <cellStyle name="Percent 8 6" xfId="677" xr:uid="{49627A52-9EB9-48ED-9DCB-BC45B6E3109F}"/>
    <cellStyle name="Percent 8 6 2" xfId="5685" xr:uid="{6D046563-BF99-4003-85F1-D824BC05CCAA}"/>
    <cellStyle name="Percent 8 7" xfId="3963" xr:uid="{5501EA3E-1E08-4118-89AB-9E47B4239736}"/>
    <cellStyle name="Percent 9" xfId="334" xr:uid="{8712517D-545C-4DAE-A172-EB27F3D92AAF}"/>
    <cellStyle name="Percent 9 2" xfId="1199" xr:uid="{FFB07EB7-A93B-4B86-872E-D527F6B4C911}"/>
    <cellStyle name="Percent 9 2 2" xfId="2346" xr:uid="{9680AD83-D48C-4BA1-A195-1B8546AEDDFC}"/>
    <cellStyle name="Percent 9 2 2 2" xfId="3643" xr:uid="{74FC4413-8168-4388-94A5-B5C06DE1B53D}"/>
    <cellStyle name="Percent 9 2 2 2 2" xfId="7098" xr:uid="{FA2BC54B-6ADA-444F-9891-6DD9F0F90CFD}"/>
    <cellStyle name="Percent 9 2 2 3" xfId="5359" xr:uid="{07E90635-E0DF-4F55-96EF-8566233AE9EB}"/>
    <cellStyle name="Percent 9 2 3" xfId="2796" xr:uid="{16C87886-1CA3-425D-9DFB-24E83E77BD6E}"/>
    <cellStyle name="Percent 9 2 3 2" xfId="6229" xr:uid="{4F21720C-7151-423A-AF7A-0AF38EECA97E}"/>
    <cellStyle name="Percent 9 2 4" xfId="4489" xr:uid="{785974EC-41DC-4375-9F04-D10A22D4F390}"/>
    <cellStyle name="Percent 9 3" xfId="1654" xr:uid="{87C53DF2-C1D4-49F7-8B01-7929791C0E49}"/>
    <cellStyle name="Percent 9 3 2" xfId="3223" xr:uid="{00D068E3-FF96-4EB9-85C4-0748AF2B3594}"/>
    <cellStyle name="Percent 9 3 2 2" xfId="6663" xr:uid="{2213F1FB-79D2-4592-B042-D2ED7620FA44}"/>
    <cellStyle name="Percent 9 3 3" xfId="4924" xr:uid="{7FB0F870-D123-4D42-A2F7-A2AA93399F07}"/>
    <cellStyle name="Percent 9 4" xfId="786" xr:uid="{CE016A7F-3056-41E6-BAAA-55057C9F6A11}"/>
    <cellStyle name="Percent 9 4 2" xfId="5794" xr:uid="{F16B6E19-9283-474A-A1C2-7FB725171708}"/>
    <cellStyle name="Percent 9 5" xfId="4067" xr:uid="{3F4EDE9E-F9F6-400A-84C3-36B85100F48D}"/>
    <cellStyle name="price" xfId="52" xr:uid="{393B4334-F5C4-4802-9F88-DA8DC2B8ED20}"/>
    <cellStyle name="q" xfId="53" xr:uid="{83E876F9-2D29-46ED-A5CD-3E586CE9585A}"/>
    <cellStyle name="q_Sheet1" xfId="54" xr:uid="{7327A53B-2D2F-4B1E-B890-430E22BC3573}"/>
    <cellStyle name="QEPS-h" xfId="55" xr:uid="{A75A2FE5-10AF-4449-9FE8-DA8DA18F0507}"/>
    <cellStyle name="QEPS-H1" xfId="56" xr:uid="{CBACDF5C-931C-4F5B-831F-C6120FFDA13D}"/>
    <cellStyle name="qRange" xfId="57" xr:uid="{F8486AE0-115F-436F-8A2F-85A5194D9030}"/>
    <cellStyle name="range" xfId="58" xr:uid="{4DF57CEE-5E34-4437-8816-C9B377625C64}"/>
    <cellStyle name="RevList" xfId="59" xr:uid="{502F6C49-6C4B-4110-B0A7-618D226D7556}"/>
    <cellStyle name="SAPBorder" xfId="1918" xr:uid="{6F768742-CA81-4171-9885-ECC5398CA0F0}"/>
    <cellStyle name="SAPBorder 2" xfId="2120" xr:uid="{BEB75F12-447C-4B06-9F86-DEEEBA31642D}"/>
    <cellStyle name="SAPBorder 3" xfId="2064" xr:uid="{ACD438C7-CC0C-489B-AEF6-B90666C40FC8}"/>
    <cellStyle name="SAPDataCell" xfId="1901" xr:uid="{ED78F071-0CD7-4770-A4CF-960F44A7DE7A}"/>
    <cellStyle name="SAPDataCell 2" xfId="2103" xr:uid="{BE74EEA6-1E9F-4E0B-8389-4CBE0256C218}"/>
    <cellStyle name="SAPDataCell 3" xfId="2047" xr:uid="{1F00F5A8-DB14-4331-8578-9085F3D231DF}"/>
    <cellStyle name="SAPDataTotalCell" xfId="1902" xr:uid="{7BA2F893-868F-44E1-AB91-3988D5AF3380}"/>
    <cellStyle name="SAPDataTotalCell 2" xfId="2104" xr:uid="{4D7ECB89-598D-4B6F-A5F0-D6D765BB5AF5}"/>
    <cellStyle name="SAPDataTotalCell 3" xfId="2048" xr:uid="{0CA016A7-2577-4258-AFEA-CBCE7F862010}"/>
    <cellStyle name="SAPDimensionCell" xfId="1900" xr:uid="{22CD8DC2-3209-41BD-B9C4-91056AEFC0B1}"/>
    <cellStyle name="SAPDimensionCell 2" xfId="2102" xr:uid="{D6C3AB6B-7349-48A6-AC4A-F9B2E975945E}"/>
    <cellStyle name="SAPDimensionCell 3" xfId="2046" xr:uid="{27A9DE55-4378-4103-9E43-C4A688F9E677}"/>
    <cellStyle name="SAPEditableDataCell" xfId="1903" xr:uid="{AC3F9C39-CB81-4E7E-9D73-BA5C9F1DE586}"/>
    <cellStyle name="SAPEditableDataCell 2" xfId="2105" xr:uid="{3187D117-5143-4F14-9FBB-434555D15D0B}"/>
    <cellStyle name="SAPEditableDataCell 3" xfId="2049" xr:uid="{BAB25FA7-7CF1-460A-8E19-5E4BDBDAE713}"/>
    <cellStyle name="SAPEditableDataTotalCell" xfId="1906" xr:uid="{8050B3B6-FBB4-4B13-8C2B-748782222ECF}"/>
    <cellStyle name="SAPEditableDataTotalCell 2" xfId="2108" xr:uid="{D941B587-5C3A-40B7-8BCE-DB79EDBE907D}"/>
    <cellStyle name="SAPEditableDataTotalCell 3" xfId="2052" xr:uid="{6C30C590-A873-4E24-B921-CC24EE537CBA}"/>
    <cellStyle name="SAPEmphasized" xfId="1926" xr:uid="{5DB9646A-E42B-460C-950F-522E45242664}"/>
    <cellStyle name="SAPEmphasized 2" xfId="2128" xr:uid="{878B0EF2-0AAD-4AF6-8694-64E7CADF71BE}"/>
    <cellStyle name="SAPEmphasized 3" xfId="2072" xr:uid="{1C3866F5-A8C9-444D-ACA2-FE6EEB32CF36}"/>
    <cellStyle name="SAPEmphasizedEditableDataCell" xfId="1928" xr:uid="{6632EA40-3645-4598-94B9-104C80D41FEC}"/>
    <cellStyle name="SAPEmphasizedEditableDataCell 2" xfId="2130" xr:uid="{30149FF8-79EF-46B9-9DA6-9B682152A1DD}"/>
    <cellStyle name="SAPEmphasizedEditableDataCell 3" xfId="2074" xr:uid="{9D1AD88A-BA68-4FBC-9A79-8D8415F9E4B9}"/>
    <cellStyle name="SAPEmphasizedEditableDataTotalCell" xfId="1929" xr:uid="{0B7AF492-1EB6-4E73-9549-46629E9C9B6C}"/>
    <cellStyle name="SAPEmphasizedEditableDataTotalCell 2" xfId="2131" xr:uid="{E1403CB1-898B-4D14-A824-5F31A540B5A7}"/>
    <cellStyle name="SAPEmphasizedEditableDataTotalCell 3" xfId="2075" xr:uid="{D085E7B1-914B-4FA5-A0EB-FBAE1A35F869}"/>
    <cellStyle name="SAPEmphasizedLockedDataCell" xfId="1932" xr:uid="{BCA90A33-FBAA-48A2-830E-0F6E98D7929B}"/>
    <cellStyle name="SAPEmphasizedLockedDataCell 2" xfId="2134" xr:uid="{AC0C5354-3212-4947-B067-6FDE00E8789F}"/>
    <cellStyle name="SAPEmphasizedLockedDataCell 3" xfId="2078" xr:uid="{53236340-9E88-4208-ABFC-AD89A7606400}"/>
    <cellStyle name="SAPEmphasizedLockedDataTotalCell" xfId="1933" xr:uid="{3DF0AF34-3B91-4303-A9BB-69D7C2711BF5}"/>
    <cellStyle name="SAPEmphasizedLockedDataTotalCell 2" xfId="2135" xr:uid="{32B1B71F-B57A-4876-84B4-F6430378FFDC}"/>
    <cellStyle name="SAPEmphasizedLockedDataTotalCell 3" xfId="2079" xr:uid="{2209C9A4-4768-4395-9E4E-0C2E26C09224}"/>
    <cellStyle name="SAPEmphasizedReadonlyDataCell" xfId="1930" xr:uid="{2180F95D-1FFA-48C2-8A02-4B83A1B0E7DC}"/>
    <cellStyle name="SAPEmphasizedReadonlyDataCell 2" xfId="2132" xr:uid="{DD5EA68A-7156-4474-BD54-907219DBD520}"/>
    <cellStyle name="SAPEmphasizedReadonlyDataCell 3" xfId="2076" xr:uid="{952A14D9-B56B-4533-BCDB-72583AB96EC3}"/>
    <cellStyle name="SAPEmphasizedReadonlyDataTotalCell" xfId="1931" xr:uid="{12CF6C0C-9C51-49FE-81AF-17E7048FDB6B}"/>
    <cellStyle name="SAPEmphasizedReadonlyDataTotalCell 2" xfId="2133" xr:uid="{802EA3EA-BE70-4139-B719-0C0A0647B7D1}"/>
    <cellStyle name="SAPEmphasizedReadonlyDataTotalCell 3" xfId="2077" xr:uid="{86406B8A-4251-466A-9966-F32530A1B5F1}"/>
    <cellStyle name="SAPEmphasizedTotal" xfId="1927" xr:uid="{087865EE-4677-42E2-9169-8BF9229ECFDF}"/>
    <cellStyle name="SAPEmphasizedTotal 2" xfId="2129" xr:uid="{37296B07-4167-43F7-99F5-3B5CAC15E86C}"/>
    <cellStyle name="SAPEmphasizedTotal 3" xfId="2073" xr:uid="{116B20F8-7304-4DC6-B1F7-9CAD2581B4CC}"/>
    <cellStyle name="SAPError" xfId="1936" xr:uid="{08EEDB72-729E-4B59-AF4D-E0228645D3D2}"/>
    <cellStyle name="SAPError 2" xfId="2138" xr:uid="{2C78363F-DACC-410A-8FEB-6E61D77C5040}"/>
    <cellStyle name="SAPError 3" xfId="2082" xr:uid="{2C2B4393-2F3C-40CB-89F3-B33A4D9F0128}"/>
    <cellStyle name="SAPExceptionLevel1" xfId="1909" xr:uid="{1C2D801C-B640-4B32-A4A1-9531705F8CB1}"/>
    <cellStyle name="SAPExceptionLevel1 2" xfId="2111" xr:uid="{213AFA39-03AD-4C9C-A854-AEE284FDEA22}"/>
    <cellStyle name="SAPExceptionLevel1 3" xfId="2055" xr:uid="{56208CD4-E70B-400A-B08D-E18E152A3810}"/>
    <cellStyle name="SAPExceptionLevel2" xfId="1910" xr:uid="{443C4EB9-E6A4-4A0D-BB37-876D82A66AA1}"/>
    <cellStyle name="SAPExceptionLevel2 2" xfId="2112" xr:uid="{3BE35EE5-FD30-439E-84EC-BCB320C32839}"/>
    <cellStyle name="SAPExceptionLevel2 3" xfId="2056" xr:uid="{6C852C94-D09F-4AFB-B4AD-4611846FEFA4}"/>
    <cellStyle name="SAPExceptionLevel3" xfId="1911" xr:uid="{910358F2-E034-4110-A72E-1CB12FF8DB13}"/>
    <cellStyle name="SAPExceptionLevel3 2" xfId="2113" xr:uid="{E0E48102-2B10-4EB8-9BA3-E715B582FBE9}"/>
    <cellStyle name="SAPExceptionLevel3 3" xfId="2057" xr:uid="{F4100634-D1AA-47CC-9C11-629C396987D2}"/>
    <cellStyle name="SAPExceptionLevel4" xfId="1912" xr:uid="{0B558885-920D-4EEC-AF60-3C00B26E8A03}"/>
    <cellStyle name="SAPExceptionLevel4 2" xfId="2114" xr:uid="{35CAEE9D-51A0-4AD1-B133-27C7A567C461}"/>
    <cellStyle name="SAPExceptionLevel4 3" xfId="2058" xr:uid="{F5B376F9-C3AA-4EF7-BD03-C819C9C005FC}"/>
    <cellStyle name="SAPExceptionLevel5" xfId="1913" xr:uid="{9A81210A-D53E-4A14-94B9-D8D637D12261}"/>
    <cellStyle name="SAPExceptionLevel5 2" xfId="2115" xr:uid="{4DD90D00-8752-4729-825F-D4B198EF3C8D}"/>
    <cellStyle name="SAPExceptionLevel5 3" xfId="2059" xr:uid="{8A101D61-6F97-43B6-9462-EF7F8BF30A79}"/>
    <cellStyle name="SAPExceptionLevel6" xfId="1914" xr:uid="{FB625469-172C-4757-983E-F7A2E0F15519}"/>
    <cellStyle name="SAPExceptionLevel6 2" xfId="2116" xr:uid="{B6B3B63F-C132-4290-A19D-A3A3D7655F99}"/>
    <cellStyle name="SAPExceptionLevel6 3" xfId="2060" xr:uid="{6302A022-A770-46F8-A800-6D433145B8EE}"/>
    <cellStyle name="SAPExceptionLevel7" xfId="1915" xr:uid="{02A008FA-BC41-4AD3-95DC-2BDE4F8CE2D0}"/>
    <cellStyle name="SAPExceptionLevel7 2" xfId="2117" xr:uid="{9BD41FA2-E584-42AF-99AA-C64E3D30D7D6}"/>
    <cellStyle name="SAPExceptionLevel7 3" xfId="2061" xr:uid="{D725D49C-9373-4EA2-BE0D-CA23653D845B}"/>
    <cellStyle name="SAPExceptionLevel8" xfId="1916" xr:uid="{9B931FE6-0208-4A61-A0FC-A3AE6EDF2AF3}"/>
    <cellStyle name="SAPExceptionLevel8 2" xfId="2118" xr:uid="{731BEB34-24F0-4210-ABAC-616B5B5B1ADC}"/>
    <cellStyle name="SAPExceptionLevel8 3" xfId="2062" xr:uid="{AEE5535E-3BBF-4098-9454-1FD01CBC13CB}"/>
    <cellStyle name="SAPExceptionLevel9" xfId="1917" xr:uid="{185F70FB-D088-42EC-BC63-F42AA13EBFA5}"/>
    <cellStyle name="SAPExceptionLevel9 2" xfId="2119" xr:uid="{856FA08E-A93F-41B9-99B2-5ACDFECE02A8}"/>
    <cellStyle name="SAPExceptionLevel9 3" xfId="2063" xr:uid="{19BC0F28-4D94-4324-A4F1-DAD2B73FCBA0}"/>
    <cellStyle name="SAPFormula" xfId="1935" xr:uid="{040BB4A4-D913-400D-924E-CEC6FF3325ED}"/>
    <cellStyle name="SAPFormula 2" xfId="2137" xr:uid="{19E75857-8905-43BE-AD31-710EDCB504D7}"/>
    <cellStyle name="SAPFormula 3" xfId="2081" xr:uid="{ABEE245E-5998-4585-B970-8CA12444E862}"/>
    <cellStyle name="SAPHierarchyCell0" xfId="1921" xr:uid="{91AE1125-37AC-40DF-B6A9-FB9F07BB63B4}"/>
    <cellStyle name="SAPHierarchyCell0 2" xfId="2123" xr:uid="{22B9F831-7AA6-46EF-97A8-A574536468BF}"/>
    <cellStyle name="SAPHierarchyCell0 3" xfId="2067" xr:uid="{E2F0A362-1C30-4D46-BD92-C643D94D3AF3}"/>
    <cellStyle name="SAPHierarchyCell1" xfId="1922" xr:uid="{30DDA2BA-05D1-46DC-A6BA-647C547DA7F3}"/>
    <cellStyle name="SAPHierarchyCell1 2" xfId="2124" xr:uid="{ACDC868F-7C69-4EBC-8D00-FD9FDD157691}"/>
    <cellStyle name="SAPHierarchyCell1 3" xfId="2068" xr:uid="{921F27B3-C6DF-4CE0-A538-C2D6D4233B19}"/>
    <cellStyle name="SAPHierarchyCell2" xfId="1923" xr:uid="{6A88CEBC-CD44-4010-9EB3-17FDD10D19D8}"/>
    <cellStyle name="SAPHierarchyCell2 2" xfId="2125" xr:uid="{0E846180-5A3A-446A-9AFE-59177CFD1604}"/>
    <cellStyle name="SAPHierarchyCell2 3" xfId="2069" xr:uid="{E6F212EC-C020-4313-BC7C-60D59F13F852}"/>
    <cellStyle name="SAPHierarchyCell3" xfId="1924" xr:uid="{4A8BBC63-751A-48C8-88D1-9ACEEEF32DA1}"/>
    <cellStyle name="SAPHierarchyCell3 2" xfId="2126" xr:uid="{07CCD232-871B-420B-B785-717089D4CB0A}"/>
    <cellStyle name="SAPHierarchyCell3 3" xfId="2070" xr:uid="{09844610-4104-40A1-90B2-E4E48AD8E032}"/>
    <cellStyle name="SAPHierarchyCell4" xfId="1925" xr:uid="{79C9695B-ACA1-497B-8EF6-711CAFF53A5E}"/>
    <cellStyle name="SAPHierarchyCell4 2" xfId="2127" xr:uid="{F66FD58D-4EDB-4AA7-BE14-C27260590FFC}"/>
    <cellStyle name="SAPHierarchyCell4 3" xfId="2071" xr:uid="{341EF041-4B59-4BFC-8E5E-010316BE2809}"/>
    <cellStyle name="SAPLockedDataCell" xfId="1905" xr:uid="{570C0BFF-33AF-461D-AE00-6E3E85B70A82}"/>
    <cellStyle name="SAPLockedDataCell 2" xfId="2107" xr:uid="{8C9A29F7-6C92-45FC-84AD-4EE62DD04359}"/>
    <cellStyle name="SAPLockedDataCell 3" xfId="2051" xr:uid="{CA60505B-0B52-4597-9741-C50A66223FED}"/>
    <cellStyle name="SAPLockedDataTotalCell" xfId="1908" xr:uid="{AE3526A4-E5A6-406A-BA2C-EF4F57A8B289}"/>
    <cellStyle name="SAPLockedDataTotalCell 2" xfId="2110" xr:uid="{8FFE0433-F944-450F-A732-58B1EDC8EC49}"/>
    <cellStyle name="SAPLockedDataTotalCell 3" xfId="2054" xr:uid="{9F4413F1-0E5E-45AA-A824-DF683650B47F}"/>
    <cellStyle name="SAPMemberCell" xfId="1919" xr:uid="{481D6AD4-5585-40F7-8834-6CBECE706F6B}"/>
    <cellStyle name="SAPMemberCell 2" xfId="2121" xr:uid="{976862D4-6580-4D4A-A93E-94DD37696387}"/>
    <cellStyle name="SAPMemberCell 3" xfId="2065" xr:uid="{EC1A2EF6-27FB-459A-9031-940AEFC91AF9}"/>
    <cellStyle name="SAPMemberTotalCell" xfId="1920" xr:uid="{4BAC0ACA-A3B8-4BB3-8BD4-E78955C738B8}"/>
    <cellStyle name="SAPMemberTotalCell 2" xfId="2122" xr:uid="{5187CB04-89FE-4D61-B66D-988DC83EE40F}"/>
    <cellStyle name="SAPMemberTotalCell 3" xfId="2066" xr:uid="{581D868D-996B-4EA8-8520-803DE3AC1277}"/>
    <cellStyle name="SAPMessageText" xfId="1934" xr:uid="{CC8506E0-B9E4-4D7F-B67A-0CA84185D9FD}"/>
    <cellStyle name="SAPMessageText 2" xfId="2136" xr:uid="{1958625B-3AA3-49EE-A241-59793E965B9D}"/>
    <cellStyle name="SAPMessageText 3" xfId="2080" xr:uid="{62E8A3A5-1C09-45F4-A408-064780BE49F4}"/>
    <cellStyle name="SAPReadonlyDataCell" xfId="1904" xr:uid="{8A0F9FA1-500F-4B7D-ABEB-B19878668CE6}"/>
    <cellStyle name="SAPReadonlyDataCell 2" xfId="2106" xr:uid="{CE3CF83C-6412-4745-B915-E191186F6FB8}"/>
    <cellStyle name="SAPReadonlyDataCell 3" xfId="2050" xr:uid="{532728C5-8E00-43D6-8A8C-0F2D317B79A8}"/>
    <cellStyle name="SAPReadonlyDataTotalCell" xfId="1907" xr:uid="{9AF4F48D-8F5E-4C35-AFB9-3F9DE01C915F}"/>
    <cellStyle name="SAPReadonlyDataTotalCell 2" xfId="2109" xr:uid="{F4E89C7A-60F2-4CAB-A145-78023602BC0F}"/>
    <cellStyle name="SAPReadonlyDataTotalCell 3" xfId="2053" xr:uid="{1474E2EF-0156-46A0-90F7-93C81AAB7230}"/>
    <cellStyle name="Style 1" xfId="144" xr:uid="{5DEBD9B7-DBE9-4248-AD3E-D8756050FF80}"/>
    <cellStyle name="Style 1 2" xfId="204" xr:uid="{4910D5E8-7064-4DA2-9B80-0AA7F42775C3}"/>
    <cellStyle name="Subtotal" xfId="60" xr:uid="{85D84670-69EA-4062-B7BD-07E402E37534}"/>
    <cellStyle name="tcn" xfId="61" xr:uid="{1C49FD14-CF30-4CDA-B88F-FC3C774E7621}"/>
    <cellStyle name="Title" xfId="63" builtinId="15" customBuiltin="1"/>
    <cellStyle name="Title 2" xfId="360" xr:uid="{54E03ED7-5039-41DF-90A7-2C2352583BD7}"/>
    <cellStyle name="Title 3" xfId="145" xr:uid="{6F1A4F73-147C-4CDF-BED3-C7C792BD6F4F}"/>
    <cellStyle name="tn" xfId="62" xr:uid="{FADDF6F1-6FCA-4246-ACC6-D0CA788DE984}"/>
    <cellStyle name="Total" xfId="77" builtinId="25" customBuiltin="1"/>
    <cellStyle name="Warning Text" xfId="75" builtinId="11" customBuiltin="1"/>
  </cellStyles>
  <dxfs count="0"/>
  <tableStyles count="1" defaultTableStyle="TableStyleMedium2" defaultPivotStyle="PivotStyleLight16">
    <tableStyle name="Invisible" pivot="0" table="0" count="0" xr9:uid="{354A57CE-737E-4E84-96DD-4FE4CA11CE48}"/>
  </tableStyles>
  <colors>
    <indexedColors>
      <rgbColor rgb="00000000"/>
      <rgbColor rgb="00FFFFFF"/>
      <rgbColor rgb="00FF0000"/>
      <rgbColor rgb="0000FF00"/>
      <rgbColor rgb="000000FF"/>
      <rgbColor rgb="00FFFF00"/>
      <rgbColor rgb="00FF00FF"/>
      <rgbColor rgb="0000FFFF"/>
      <rgbColor rgb="00000000"/>
      <rgbColor rgb="00FFFFFF"/>
      <rgbColor rgb="00FF0000"/>
      <rgbColor rgb="00C58705"/>
      <rgbColor rgb="000000FF"/>
      <rgbColor rgb="00FFFF00"/>
      <rgbColor rgb="00996633"/>
      <rgbColor rgb="00993300"/>
      <rgbColor rgb="004E9985"/>
      <rgbColor rgb="0080B3E6"/>
      <rgbColor rgb="00000080"/>
      <rgbColor rgb="00009696"/>
      <rgbColor rgb="00800080"/>
      <rgbColor rgb="00575790"/>
      <rgbColor rgb="00E1E1E1"/>
      <rgbColor rgb="0028508C"/>
      <rgbColor rgb="000066CC"/>
      <rgbColor rgb="00CC6600"/>
      <rgbColor rgb="00FFCC00"/>
      <rgbColor rgb="00009EA6"/>
      <rgbColor rgb="00BE0000"/>
      <rgbColor rgb="00008C03"/>
      <rgbColor rgb="006C83D6"/>
      <rgbColor rgb="00990099"/>
      <rgbColor rgb="001E3086"/>
      <rgbColor rgb="00FFCC00"/>
      <rgbColor rgb="00990099"/>
      <rgbColor rgb="00008C03"/>
      <rgbColor rgb="0066CCFF"/>
      <rgbColor rgb="00BE0000"/>
      <rgbColor rgb="008DCE4C"/>
      <rgbColor rgb="00C58705"/>
      <rgbColor rgb="00FFFFFF"/>
      <rgbColor rgb="003264AF"/>
      <rgbColor rgb="0073868B"/>
      <rgbColor rgb="00677679"/>
      <rgbColor rgb="00162758"/>
      <rgbColor rgb="0028508C"/>
      <rgbColor rgb="00919EA1"/>
      <rgbColor rgb="00005629"/>
      <rgbColor rgb="00FF66CC"/>
      <rgbColor rgb="0033CCCC"/>
      <rgbColor rgb="0099CC00"/>
      <rgbColor rgb="008DCE4C"/>
      <rgbColor rgb="00FF9900"/>
      <rgbColor rgb="00AED6AE"/>
      <rgbColor rgb="00FFFF93"/>
      <rgbColor rgb="00969696"/>
      <rgbColor rgb="00003366"/>
      <rgbColor rgb="00339966"/>
      <rgbColor rgb="00003300"/>
      <rgbColor rgb="00333300"/>
      <rgbColor rgb="00993300"/>
      <rgbColor rgb="00FFFFFF"/>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2025650</xdr:colOff>
      <xdr:row>6</xdr:row>
      <xdr:rowOff>127000</xdr:rowOff>
    </xdr:to>
    <xdr:pic>
      <xdr:nvPicPr>
        <xdr:cNvPr id="1025" name="Picture 1">
          <a:extLst>
            <a:ext uri="{FF2B5EF4-FFF2-40B4-BE49-F238E27FC236}">
              <a16:creationId xmlns:a16="http://schemas.microsoft.com/office/drawing/2014/main" id="{8B7D4CCE-2785-CEBE-ABC0-3FA1E8385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 y="0"/>
          <a:ext cx="202565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525"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B538C8DF-38DF-4973-A3E5-EA4ABD772F40}">
  <we:reference id="8a512e2b-c04e-4c06-9235-11b6cd59f584" version="1.14.0.0" store="EXCatalog" storeType="EXCatalog"/>
  <we:alternateReferences>
    <we:reference id="WA200000169" version="1.14.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_xldudf_SAP_GETDATA</we:customFunctionIds>
      </we:customFunctionIdList>
    </a:ext>
  </we:extLst>
</we:webextension>
</file>

<file path=xl/webextensions/webextension2.xml><?xml version="1.0" encoding="utf-8"?>
<we:webextension xmlns:we="http://schemas.microsoft.com/office/webextensions/webextension/2010/11" id="{735594A4-6A7C-4C13-9064-E749FBA6CEEA}">
  <we:reference id="c5523a33-b9ac-4e01-bd6f-21be1b4d5ea2" version="1.0.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 Id="rId5" Type="http://schemas.openxmlformats.org/officeDocument/2006/relationships/comments" Target="../comments8.xml"/><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889A-D9E8-4794-AD91-E61DDDBF17C0}">
  <sheetPr codeName="Sheet1"/>
  <dimension ref="A1:B24"/>
  <sheetViews>
    <sheetView showGridLines="0" tabSelected="1" zoomScale="80" zoomScaleNormal="80" workbookViewId="0"/>
  </sheetViews>
  <sheetFormatPr defaultRowHeight="12.5"/>
  <cols>
    <col min="1" max="1" width="1.1796875" customWidth="1"/>
    <col min="2" max="2" width="68.453125" customWidth="1"/>
  </cols>
  <sheetData>
    <row r="1" spans="1:2" ht="28">
      <c r="A1" s="1"/>
    </row>
    <row r="2" spans="1:2">
      <c r="B2" t="s">
        <v>488</v>
      </c>
    </row>
    <row r="7" spans="1:2" ht="13" thickBot="1"/>
    <row r="8" spans="1:2" ht="17.5">
      <c r="B8" s="436" t="s">
        <v>499</v>
      </c>
    </row>
    <row r="9" spans="1:2" ht="17.5">
      <c r="B9" s="437" t="s">
        <v>0</v>
      </c>
    </row>
    <row r="10" spans="1:2">
      <c r="B10" s="433"/>
    </row>
    <row r="11" spans="1:2" s="432" customFormat="1" ht="18.75" customHeight="1">
      <c r="B11" s="435" t="s">
        <v>1</v>
      </c>
    </row>
    <row r="12" spans="1:2" s="432" customFormat="1" ht="18.75" customHeight="1">
      <c r="B12" s="435" t="s">
        <v>2</v>
      </c>
    </row>
    <row r="13" spans="1:2" s="432" customFormat="1" ht="18">
      <c r="B13" s="435" t="s">
        <v>3</v>
      </c>
    </row>
    <row r="14" spans="1:2" s="432" customFormat="1" ht="18">
      <c r="B14" s="435" t="s">
        <v>4</v>
      </c>
    </row>
    <row r="15" spans="1:2" s="432" customFormat="1" ht="18">
      <c r="B15" s="435" t="s">
        <v>5</v>
      </c>
    </row>
    <row r="16" spans="1:2" s="432" customFormat="1" ht="18">
      <c r="B16" s="435" t="s">
        <v>495</v>
      </c>
    </row>
    <row r="17" spans="2:2" s="432" customFormat="1" ht="18.75" customHeight="1">
      <c r="B17" s="435" t="s">
        <v>6</v>
      </c>
    </row>
    <row r="18" spans="2:2" s="403" customFormat="1" ht="13.5" thickBot="1">
      <c r="B18" s="434"/>
    </row>
    <row r="19" spans="2:2" s="403" customFormat="1" ht="13"/>
    <row r="20" spans="2:2" ht="21">
      <c r="B20" s="438" t="s">
        <v>7</v>
      </c>
    </row>
    <row r="21" spans="2:2">
      <c r="B21" s="83"/>
    </row>
    <row r="22" spans="2:2">
      <c r="B22" s="83"/>
    </row>
    <row r="23" spans="2:2">
      <c r="B23" s="83"/>
    </row>
    <row r="24" spans="2:2">
      <c r="B24" s="83"/>
    </row>
  </sheetData>
  <hyperlinks>
    <hyperlink ref="B11" location="'1 INR- Consol Profit Loss'!A1" display="1 INR - IFRS Consolidated Profit and Loss" xr:uid="{5126711C-E098-4E9D-88A4-90614ED57E50}"/>
    <hyperlink ref="B12" location="'2 INR - Consol Balance Sheet'!A1" display="2 INR - IFRS Consolidated Balance Sheet" xr:uid="{BFB32DB4-F02B-4CA0-8652-8B4D823B1C33}"/>
    <hyperlink ref="B14" location="'4 USD - Consol Profit Loss'!A1" display="4 USD - IFRS Consolidated Profit and Loss" xr:uid="{951040A7-012C-4957-8482-492FFE5A1920}"/>
    <hyperlink ref="B15" location="'5 USD - Consol Balance Sheet'!A1" display="5 USD - IFRS Consolidated Balance Sheet" xr:uid="{C8469F9E-E43E-4B57-85CF-BD59DF1B3F26}"/>
    <hyperlink ref="B13" location="'3 INR - Consol Cash flow'!A1" display="3 INR - IFRS Consolidated Cash flow" xr:uid="{E9868CE1-C04A-44F9-82CC-9EED78E517DB}"/>
    <hyperlink ref="B16" location="'6 USD - Consol Cash flow'!A1" display="6 USD - IFRS Consolidated Cash flow" xr:uid="{A6E52913-1848-4148-80B8-85601EB2B155}"/>
    <hyperlink ref="B17" location="'7 Operating Metrics'!A1" display="7 Operating Metrics" xr:uid="{9D1D89C0-95F3-4F99-B183-3465EB77A79A}"/>
  </hyperlinks>
  <pageMargins left="0.7" right="0.7" top="0.75" bottom="0.75" header="0.3" footer="0.3"/>
  <pageSetup paperSize="9" orientation="portrait" r:id="rId1"/>
  <headerFooter alignWithMargins="0"/>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54B4-A013-4FFA-81A9-CE0DB0F94B08}">
  <sheetPr codeName="Sheet2">
    <pageSetUpPr fitToPage="1"/>
  </sheetPr>
  <dimension ref="A1:BO85"/>
  <sheetViews>
    <sheetView showGridLines="0" zoomScaleNormal="100" zoomScaleSheetLayoutView="100" workbookViewId="0">
      <pane xSplit="2" ySplit="5" topLeftCell="BJ6" activePane="bottomRight" state="frozen"/>
      <selection pane="topRight" activeCell="B1" sqref="B1"/>
      <selection pane="bottomLeft" activeCell="A6" sqref="A6"/>
      <selection pane="bottomRight" activeCell="B1" sqref="B1"/>
    </sheetView>
  </sheetViews>
  <sheetFormatPr defaultColWidth="9.1796875" defaultRowHeight="13" outlineLevelCol="2"/>
  <cols>
    <col min="1" max="1" width="1.81640625" style="84" customWidth="1"/>
    <col min="2" max="2" width="50.81640625" style="84" customWidth="1"/>
    <col min="3" max="6" width="9.81640625" style="84" hidden="1" customWidth="1" outlineLevel="2"/>
    <col min="7" max="7" width="9.81640625" style="84" hidden="1" customWidth="1" outlineLevel="1" collapsed="1"/>
    <col min="8" max="11" width="9.81640625" style="84" hidden="1" customWidth="1" outlineLevel="2"/>
    <col min="12" max="12" width="9.81640625" style="84" hidden="1" customWidth="1" outlineLevel="1" collapsed="1"/>
    <col min="13" max="16" width="9.81640625" style="84" hidden="1" customWidth="1" outlineLevel="2"/>
    <col min="17" max="17" width="9.81640625" style="84" hidden="1" customWidth="1" outlineLevel="1"/>
    <col min="18" max="21" width="9.81640625" style="84" hidden="1" customWidth="1" outlineLevel="2"/>
    <col min="22" max="22" width="9.81640625" style="84" hidden="1" customWidth="1" outlineLevel="1"/>
    <col min="23" max="26" width="9.81640625" style="84" hidden="1" customWidth="1" outlineLevel="2"/>
    <col min="27" max="27" width="9.81640625" style="84" hidden="1" customWidth="1" outlineLevel="1"/>
    <col min="28" max="31" width="9.81640625" style="84" hidden="1" customWidth="1" outlineLevel="2"/>
    <col min="32" max="32" width="9.81640625" style="84" hidden="1" customWidth="1" outlineLevel="1" collapsed="1"/>
    <col min="33" max="36" width="9.81640625" style="84" hidden="1" customWidth="1" outlineLevel="1"/>
    <col min="37" max="37" width="9.81640625" style="84" customWidth="1" collapsed="1"/>
    <col min="38" max="41" width="9.81640625" style="84" hidden="1" customWidth="1" outlineLevel="1"/>
    <col min="42" max="42" width="9.81640625" style="84" customWidth="1" collapsed="1"/>
    <col min="43" max="46" width="9.81640625" style="84" hidden="1" customWidth="1" outlineLevel="1"/>
    <col min="47" max="47" width="9.81640625" style="84" customWidth="1" collapsed="1"/>
    <col min="48" max="51" width="9.81640625" style="84" hidden="1" customWidth="1" outlineLevel="1"/>
    <col min="52" max="52" width="9.81640625" style="84" customWidth="1" collapsed="1"/>
    <col min="53" max="56" width="9.81640625" style="84" hidden="1" customWidth="1" outlineLevel="1"/>
    <col min="57" max="57" width="9.81640625" style="84" customWidth="1" collapsed="1"/>
    <col min="58" max="61" width="9.81640625" style="84" hidden="1" customWidth="1" outlineLevel="1"/>
    <col min="62" max="62" width="10.453125" style="84" customWidth="1" collapsed="1"/>
    <col min="63" max="66" width="9.81640625" style="84" customWidth="1" outlineLevel="1"/>
    <col min="67" max="67" width="10.453125" style="84" customWidth="1"/>
    <col min="68" max="16384" width="9.1796875" style="84"/>
  </cols>
  <sheetData>
    <row r="1" spans="1:67">
      <c r="B1" s="398" t="s">
        <v>8</v>
      </c>
      <c r="AF1" s="86"/>
      <c r="AK1" s="86"/>
    </row>
    <row r="2" spans="1:67">
      <c r="B2" s="397"/>
      <c r="AF2" s="86"/>
      <c r="AK2" s="86"/>
    </row>
    <row r="3" spans="1:67" ht="15.5">
      <c r="B3" s="395" t="s">
        <v>9</v>
      </c>
      <c r="AF3" s="86"/>
      <c r="AK3" s="86"/>
    </row>
    <row r="4" spans="1:67" ht="15.5">
      <c r="B4" s="395" t="s">
        <v>10</v>
      </c>
      <c r="I4" s="86"/>
      <c r="N4" s="86"/>
      <c r="AF4" s="86"/>
      <c r="AK4" s="86"/>
    </row>
    <row r="5" spans="1:67" s="135" customFormat="1">
      <c r="A5" s="137"/>
      <c r="B5" s="186" t="s">
        <v>11</v>
      </c>
      <c r="C5" s="196" t="s">
        <v>12</v>
      </c>
      <c r="D5" s="196" t="s">
        <v>13</v>
      </c>
      <c r="E5" s="196" t="s">
        <v>14</v>
      </c>
      <c r="F5" s="196" t="s">
        <v>15</v>
      </c>
      <c r="G5" s="197" t="s">
        <v>16</v>
      </c>
      <c r="H5" s="196" t="s">
        <v>17</v>
      </c>
      <c r="I5" s="196" t="s">
        <v>18</v>
      </c>
      <c r="J5" s="196" t="s">
        <v>19</v>
      </c>
      <c r="K5" s="196" t="s">
        <v>20</v>
      </c>
      <c r="L5" s="197" t="s">
        <v>21</v>
      </c>
      <c r="M5" s="196" t="s">
        <v>22</v>
      </c>
      <c r="N5" s="196" t="s">
        <v>23</v>
      </c>
      <c r="O5" s="196" t="s">
        <v>24</v>
      </c>
      <c r="P5" s="196" t="s">
        <v>25</v>
      </c>
      <c r="Q5" s="197" t="s">
        <v>26</v>
      </c>
      <c r="R5" s="196" t="s">
        <v>27</v>
      </c>
      <c r="S5" s="196" t="s">
        <v>28</v>
      </c>
      <c r="T5" s="196" t="s">
        <v>29</v>
      </c>
      <c r="U5" s="196" t="s">
        <v>30</v>
      </c>
      <c r="V5" s="197" t="s">
        <v>31</v>
      </c>
      <c r="W5" s="187" t="s">
        <v>32</v>
      </c>
      <c r="X5" s="187" t="s">
        <v>33</v>
      </c>
      <c r="Y5" s="187" t="s">
        <v>34</v>
      </c>
      <c r="Z5" s="187" t="s">
        <v>35</v>
      </c>
      <c r="AA5" s="188" t="s">
        <v>36</v>
      </c>
      <c r="AB5" s="187" t="s">
        <v>37</v>
      </c>
      <c r="AC5" s="187" t="s">
        <v>38</v>
      </c>
      <c r="AD5" s="187" t="s">
        <v>39</v>
      </c>
      <c r="AE5" s="187" t="s">
        <v>40</v>
      </c>
      <c r="AF5" s="188" t="s">
        <v>41</v>
      </c>
      <c r="AG5" s="187" t="s">
        <v>42</v>
      </c>
      <c r="AH5" s="187" t="s">
        <v>43</v>
      </c>
      <c r="AI5" s="187" t="s">
        <v>44</v>
      </c>
      <c r="AJ5" s="187" t="s">
        <v>45</v>
      </c>
      <c r="AK5" s="188" t="s">
        <v>46</v>
      </c>
      <c r="AL5" s="187" t="s">
        <v>47</v>
      </c>
      <c r="AM5" s="187" t="s">
        <v>48</v>
      </c>
      <c r="AN5" s="187" t="s">
        <v>49</v>
      </c>
      <c r="AO5" s="187" t="s">
        <v>50</v>
      </c>
      <c r="AP5" s="188" t="s">
        <v>51</v>
      </c>
      <c r="AQ5" s="187" t="s">
        <v>52</v>
      </c>
      <c r="AR5" s="187" t="s">
        <v>53</v>
      </c>
      <c r="AS5" s="187" t="s">
        <v>54</v>
      </c>
      <c r="AT5" s="187" t="s">
        <v>55</v>
      </c>
      <c r="AU5" s="188" t="s">
        <v>56</v>
      </c>
      <c r="AV5" s="187" t="s">
        <v>57</v>
      </c>
      <c r="AW5" s="187" t="s">
        <v>58</v>
      </c>
      <c r="AX5" s="187" t="s">
        <v>59</v>
      </c>
      <c r="AY5" s="187" t="s">
        <v>60</v>
      </c>
      <c r="AZ5" s="188" t="s">
        <v>61</v>
      </c>
      <c r="BA5" s="187" t="s">
        <v>62</v>
      </c>
      <c r="BB5" s="187" t="s">
        <v>63</v>
      </c>
      <c r="BC5" s="187" t="s">
        <v>64</v>
      </c>
      <c r="BD5" s="187" t="s">
        <v>65</v>
      </c>
      <c r="BE5" s="188" t="s">
        <v>66</v>
      </c>
      <c r="BF5" s="187" t="s">
        <v>67</v>
      </c>
      <c r="BG5" s="187" t="s">
        <v>68</v>
      </c>
      <c r="BH5" s="405" t="s">
        <v>69</v>
      </c>
      <c r="BI5" s="187" t="s">
        <v>70</v>
      </c>
      <c r="BJ5" s="188" t="s">
        <v>71</v>
      </c>
      <c r="BK5" s="187" t="s">
        <v>480</v>
      </c>
      <c r="BL5" s="187" t="s">
        <v>481</v>
      </c>
      <c r="BM5" s="405" t="s">
        <v>482</v>
      </c>
      <c r="BN5" s="187" t="s">
        <v>483</v>
      </c>
      <c r="BO5" s="188" t="s">
        <v>484</v>
      </c>
    </row>
    <row r="6" spans="1:67" s="85" customFormat="1">
      <c r="A6" s="39"/>
      <c r="B6" s="140" t="s">
        <v>72</v>
      </c>
      <c r="C6" s="93">
        <v>12770</v>
      </c>
      <c r="D6" s="93">
        <v>13342</v>
      </c>
      <c r="E6" s="93">
        <v>13796</v>
      </c>
      <c r="F6" s="93">
        <v>13411</v>
      </c>
      <c r="G6" s="408">
        <f>C6+D6+E6+F6</f>
        <v>53319</v>
      </c>
      <c r="H6" s="93">
        <v>14354</v>
      </c>
      <c r="I6" s="93">
        <v>15635</v>
      </c>
      <c r="J6" s="93">
        <v>15902</v>
      </c>
      <c r="K6" s="93">
        <v>16550</v>
      </c>
      <c r="L6" s="408">
        <f>H6+I6+J6+K6</f>
        <v>62441</v>
      </c>
      <c r="M6" s="93">
        <v>16782</v>
      </c>
      <c r="N6" s="93">
        <v>17310</v>
      </c>
      <c r="O6" s="93">
        <v>17273</v>
      </c>
      <c r="P6" s="93">
        <v>17120</v>
      </c>
      <c r="Q6" s="408">
        <f>SUM(M6:P6)-1</f>
        <v>68484</v>
      </c>
      <c r="R6" s="93">
        <v>17078</v>
      </c>
      <c r="S6" s="93">
        <v>17567</v>
      </c>
      <c r="T6" s="93">
        <v>17794</v>
      </c>
      <c r="U6" s="93">
        <v>18083</v>
      </c>
      <c r="V6" s="408">
        <f>SUM(R6:U6)</f>
        <v>70522</v>
      </c>
      <c r="W6" s="230">
        <v>19128</v>
      </c>
      <c r="X6" s="93">
        <v>20609</v>
      </c>
      <c r="Y6" s="93">
        <v>21400</v>
      </c>
      <c r="Z6" s="93">
        <v>21539</v>
      </c>
      <c r="AA6" s="408">
        <f>SUM(W6:Z6)-1</f>
        <v>82675</v>
      </c>
      <c r="AB6" s="93">
        <v>21803</v>
      </c>
      <c r="AC6" s="93">
        <v>22629</v>
      </c>
      <c r="AD6" s="93">
        <v>23092</v>
      </c>
      <c r="AE6" s="93">
        <v>23267</v>
      </c>
      <c r="AF6" s="408">
        <f>SUM(AB6:AE6)</f>
        <v>90791</v>
      </c>
      <c r="AG6" s="93">
        <v>23665</v>
      </c>
      <c r="AH6" s="93">
        <v>24570</v>
      </c>
      <c r="AI6" s="93">
        <v>25927</v>
      </c>
      <c r="AJ6" s="93">
        <v>26311</v>
      </c>
      <c r="AK6" s="408">
        <f>SUM(AG6:AJ6)-1</f>
        <v>100472</v>
      </c>
      <c r="AL6" s="23">
        <v>27896</v>
      </c>
      <c r="AM6" s="23">
        <v>29602</v>
      </c>
      <c r="AN6" s="23">
        <v>31867</v>
      </c>
      <c r="AO6" s="23">
        <v>32276</v>
      </c>
      <c r="AP6" s="408">
        <f>SUM(AL6:AO6)</f>
        <v>121641</v>
      </c>
      <c r="AQ6" s="23">
        <v>34470</v>
      </c>
      <c r="AR6" s="23">
        <v>36538</v>
      </c>
      <c r="AS6" s="23">
        <v>38318</v>
      </c>
      <c r="AT6" s="23">
        <v>37441</v>
      </c>
      <c r="AU6" s="408">
        <f>SUM(AQ6:AT6)</f>
        <v>146767</v>
      </c>
      <c r="AV6" s="23">
        <v>37933</v>
      </c>
      <c r="AW6" s="23">
        <v>38994</v>
      </c>
      <c r="AX6" s="23">
        <v>38821</v>
      </c>
      <c r="AY6" s="23">
        <v>37923</v>
      </c>
      <c r="AZ6" s="408">
        <f>SUM(AV6:AY6)-1</f>
        <v>153670</v>
      </c>
      <c r="BA6" s="23">
        <v>39315</v>
      </c>
      <c r="BB6" s="23">
        <v>40986</v>
      </c>
      <c r="BC6" s="23">
        <v>41764</v>
      </c>
      <c r="BD6" s="23">
        <v>40925</v>
      </c>
      <c r="BE6" s="408">
        <f>SUM(BA6:BD6)</f>
        <v>162990</v>
      </c>
      <c r="BF6" s="23">
        <v>42279</v>
      </c>
      <c r="BG6" s="23">
        <v>44490</v>
      </c>
      <c r="BH6" s="131">
        <v>45479</v>
      </c>
      <c r="BI6" s="23">
        <v>46402</v>
      </c>
      <c r="BJ6" s="408">
        <f>SUM(BF6:BI6)</f>
        <v>178650</v>
      </c>
      <c r="BK6" s="23">
        <v>48211</v>
      </c>
      <c r="BL6" s="23">
        <v>49244</v>
      </c>
      <c r="BM6" s="131"/>
      <c r="BN6" s="23"/>
      <c r="BO6" s="408">
        <f>SUM(BK6:BN6)-1</f>
        <v>97454</v>
      </c>
    </row>
    <row r="7" spans="1:67">
      <c r="A7" s="16"/>
      <c r="B7" s="138"/>
      <c r="C7" s="16"/>
      <c r="D7" s="16"/>
      <c r="E7" s="16"/>
      <c r="F7" s="16"/>
      <c r="G7" s="406"/>
      <c r="H7" s="16"/>
      <c r="I7" s="16"/>
      <c r="J7" s="16"/>
      <c r="K7" s="16"/>
      <c r="L7" s="406"/>
      <c r="M7" s="16"/>
      <c r="N7" s="16"/>
      <c r="O7" s="16"/>
      <c r="P7" s="16"/>
      <c r="Q7" s="406"/>
      <c r="R7" s="16"/>
      <c r="S7" s="16"/>
      <c r="T7" s="16"/>
      <c r="U7" s="16"/>
      <c r="V7" s="406"/>
      <c r="W7" s="16"/>
      <c r="X7" s="16"/>
      <c r="Y7" s="16"/>
      <c r="Z7" s="16"/>
      <c r="AA7" s="406"/>
      <c r="AB7" s="16"/>
      <c r="AC7" s="16"/>
      <c r="AD7" s="16"/>
      <c r="AE7" s="16"/>
      <c r="AF7" s="406"/>
      <c r="AG7" s="16"/>
      <c r="AH7" s="16"/>
      <c r="AI7" s="16"/>
      <c r="AJ7" s="16"/>
      <c r="AK7" s="406"/>
      <c r="AL7" s="16"/>
      <c r="AM7" s="16"/>
      <c r="AN7" s="16"/>
      <c r="AO7" s="16"/>
      <c r="AP7" s="406"/>
      <c r="AQ7" s="16"/>
      <c r="AR7" s="16"/>
      <c r="AS7" s="16"/>
      <c r="AT7" s="16"/>
      <c r="AU7" s="406"/>
      <c r="AV7" s="16"/>
      <c r="AW7" s="16"/>
      <c r="AX7" s="16"/>
      <c r="AY7" s="16"/>
      <c r="AZ7" s="406"/>
      <c r="BA7" s="16"/>
      <c r="BB7" s="16"/>
      <c r="BC7" s="16"/>
      <c r="BD7" s="16"/>
      <c r="BE7" s="406"/>
      <c r="BF7" s="16"/>
      <c r="BG7" s="16"/>
      <c r="BH7" s="16"/>
      <c r="BI7" s="16"/>
      <c r="BJ7" s="406"/>
      <c r="BK7" s="16"/>
      <c r="BL7" s="16"/>
      <c r="BM7" s="16"/>
      <c r="BN7" s="16"/>
      <c r="BO7" s="406"/>
    </row>
    <row r="8" spans="1:67" ht="14.5">
      <c r="A8" s="16"/>
      <c r="B8" s="138" t="s">
        <v>73</v>
      </c>
      <c r="C8" s="150">
        <v>8046</v>
      </c>
      <c r="D8" s="150">
        <v>8201</v>
      </c>
      <c r="E8" s="150">
        <v>8462</v>
      </c>
      <c r="F8" s="150">
        <v>8174</v>
      </c>
      <c r="G8" s="407">
        <f>SUM(C8:F8)</f>
        <v>32883</v>
      </c>
      <c r="H8" s="150">
        <v>9123</v>
      </c>
      <c r="I8" s="150">
        <v>9724</v>
      </c>
      <c r="J8" s="150">
        <v>9990</v>
      </c>
      <c r="K8" s="150">
        <v>10262</v>
      </c>
      <c r="L8" s="407">
        <f>SUM(H8:K8)-1</f>
        <v>39098</v>
      </c>
      <c r="M8" s="150">
        <v>10681</v>
      </c>
      <c r="N8" s="150">
        <v>10962</v>
      </c>
      <c r="O8" s="150">
        <v>10840</v>
      </c>
      <c r="P8" s="150">
        <v>10770</v>
      </c>
      <c r="Q8" s="407">
        <f>SUM(M8:P8)</f>
        <v>43253</v>
      </c>
      <c r="R8" s="150">
        <v>10900</v>
      </c>
      <c r="S8" s="150">
        <v>11227</v>
      </c>
      <c r="T8" s="150">
        <v>11450</v>
      </c>
      <c r="U8" s="150">
        <v>11554</v>
      </c>
      <c r="V8" s="407">
        <f>SUM(R8:U8)-1</f>
        <v>45130</v>
      </c>
      <c r="W8" s="150">
        <v>12288</v>
      </c>
      <c r="X8" s="150">
        <v>13281</v>
      </c>
      <c r="Y8" s="150">
        <v>14016</v>
      </c>
      <c r="Z8" s="150">
        <v>14283</v>
      </c>
      <c r="AA8" s="407">
        <f>SUM(W8:Z8)-1</f>
        <v>53867</v>
      </c>
      <c r="AB8" s="150">
        <v>14779</v>
      </c>
      <c r="AC8" s="150">
        <v>15079</v>
      </c>
      <c r="AD8" s="150">
        <v>15373</v>
      </c>
      <c r="AE8" s="150">
        <v>15501</v>
      </c>
      <c r="AF8" s="407">
        <f>SUM(AB8:AE8)</f>
        <v>60732</v>
      </c>
      <c r="AG8" s="150">
        <v>15703</v>
      </c>
      <c r="AH8" s="150">
        <v>15771</v>
      </c>
      <c r="AI8" s="150">
        <v>16777</v>
      </c>
      <c r="AJ8" s="150">
        <v>17164</v>
      </c>
      <c r="AK8" s="407">
        <f>SUM(AG8:AJ8)-2</f>
        <v>65413</v>
      </c>
      <c r="AL8" s="209">
        <v>18506</v>
      </c>
      <c r="AM8" s="209">
        <v>19806</v>
      </c>
      <c r="AN8" s="209">
        <v>21415</v>
      </c>
      <c r="AO8" s="209">
        <v>22272</v>
      </c>
      <c r="AP8" s="407">
        <f>SUM(AL8:AO8)-1</f>
        <v>81998</v>
      </c>
      <c r="AQ8" s="209">
        <v>24369</v>
      </c>
      <c r="AR8" s="209">
        <v>25412</v>
      </c>
      <c r="AS8" s="209">
        <v>26561</v>
      </c>
      <c r="AT8" s="209">
        <v>26011</v>
      </c>
      <c r="AU8" s="407">
        <f>SUM(AQ8:AT8)</f>
        <v>102353</v>
      </c>
      <c r="AV8" s="209">
        <v>26382</v>
      </c>
      <c r="AW8" s="209">
        <v>27031</v>
      </c>
      <c r="AX8" s="209">
        <v>27253</v>
      </c>
      <c r="AY8" s="209">
        <v>26748</v>
      </c>
      <c r="AZ8" s="407">
        <f>SUM(AV8:AY8)-1</f>
        <v>107413</v>
      </c>
      <c r="BA8" s="209">
        <v>27177</v>
      </c>
      <c r="BB8" s="209">
        <v>28474</v>
      </c>
      <c r="BC8" s="209">
        <v>29120</v>
      </c>
      <c r="BD8" s="209">
        <v>28575</v>
      </c>
      <c r="BE8" s="407">
        <f>SUM(BA8:BD8)+1</f>
        <v>113347</v>
      </c>
      <c r="BF8" s="209">
        <v>29224</v>
      </c>
      <c r="BG8" s="209">
        <v>30800</v>
      </c>
      <c r="BH8" s="209">
        <v>32652</v>
      </c>
      <c r="BI8" s="209">
        <v>32058</v>
      </c>
      <c r="BJ8" s="407">
        <f>SUM(BF8:BI8)+1</f>
        <v>124735</v>
      </c>
      <c r="BK8" s="209">
        <v>33033</v>
      </c>
      <c r="BL8" s="209">
        <v>33943</v>
      </c>
      <c r="BM8" s="209"/>
      <c r="BN8" s="209"/>
      <c r="BO8" s="407">
        <f>SUM(BK8:BN8)-1</f>
        <v>66975</v>
      </c>
    </row>
    <row r="9" spans="1:67" s="136" customFormat="1">
      <c r="A9" s="139"/>
      <c r="B9" s="140" t="s">
        <v>74</v>
      </c>
      <c r="C9" s="23">
        <f>C6-C8</f>
        <v>4724</v>
      </c>
      <c r="D9" s="23">
        <f>D6-D8</f>
        <v>5141</v>
      </c>
      <c r="E9" s="23">
        <f>E6-E8</f>
        <v>5334</v>
      </c>
      <c r="F9" s="23">
        <f>F6-F8</f>
        <v>5237</v>
      </c>
      <c r="G9" s="408">
        <f>SUM(C9:F9)</f>
        <v>20436</v>
      </c>
      <c r="H9" s="23">
        <f t="shared" ref="H9:P9" si="0">H6-H8</f>
        <v>5231</v>
      </c>
      <c r="I9" s="23">
        <f t="shared" si="0"/>
        <v>5911</v>
      </c>
      <c r="J9" s="23">
        <f t="shared" si="0"/>
        <v>5912</v>
      </c>
      <c r="K9" s="23">
        <f t="shared" si="0"/>
        <v>6288</v>
      </c>
      <c r="L9" s="408">
        <f t="shared" si="0"/>
        <v>23343</v>
      </c>
      <c r="M9" s="23">
        <f t="shared" si="0"/>
        <v>6101</v>
      </c>
      <c r="N9" s="23">
        <f t="shared" si="0"/>
        <v>6348</v>
      </c>
      <c r="O9" s="23">
        <f t="shared" si="0"/>
        <v>6433</v>
      </c>
      <c r="P9" s="23">
        <f t="shared" si="0"/>
        <v>6350</v>
      </c>
      <c r="Q9" s="408">
        <f t="shared" ref="Q9:AB9" si="1">Q6-Q8</f>
        <v>25231</v>
      </c>
      <c r="R9" s="23">
        <f t="shared" si="1"/>
        <v>6178</v>
      </c>
      <c r="S9" s="23">
        <f t="shared" si="1"/>
        <v>6340</v>
      </c>
      <c r="T9" s="23">
        <f t="shared" si="1"/>
        <v>6344</v>
      </c>
      <c r="U9" s="23">
        <f t="shared" si="1"/>
        <v>6529</v>
      </c>
      <c r="V9" s="408">
        <f t="shared" si="1"/>
        <v>25392</v>
      </c>
      <c r="W9" s="23">
        <f t="shared" si="1"/>
        <v>6840</v>
      </c>
      <c r="X9" s="23">
        <f t="shared" si="1"/>
        <v>7328</v>
      </c>
      <c r="Y9" s="23">
        <f t="shared" si="1"/>
        <v>7384</v>
      </c>
      <c r="Z9" s="23">
        <f t="shared" si="1"/>
        <v>7256</v>
      </c>
      <c r="AA9" s="408">
        <f>AA6-AA8</f>
        <v>28808</v>
      </c>
      <c r="AB9" s="23">
        <f t="shared" si="1"/>
        <v>7024</v>
      </c>
      <c r="AC9" s="23">
        <f t="shared" ref="AC9:AT9" si="2">AC6-AC8</f>
        <v>7550</v>
      </c>
      <c r="AD9" s="23">
        <f t="shared" si="2"/>
        <v>7719</v>
      </c>
      <c r="AE9" s="23">
        <f t="shared" si="2"/>
        <v>7766</v>
      </c>
      <c r="AF9" s="408">
        <f t="shared" si="2"/>
        <v>30059</v>
      </c>
      <c r="AG9" s="23">
        <f t="shared" si="2"/>
        <v>7962</v>
      </c>
      <c r="AH9" s="23">
        <f t="shared" si="2"/>
        <v>8799</v>
      </c>
      <c r="AI9" s="23">
        <f t="shared" si="2"/>
        <v>9150</v>
      </c>
      <c r="AJ9" s="23">
        <f t="shared" si="2"/>
        <v>9147</v>
      </c>
      <c r="AK9" s="408">
        <f>AK6-AK8</f>
        <v>35059</v>
      </c>
      <c r="AL9" s="23">
        <f t="shared" si="2"/>
        <v>9390</v>
      </c>
      <c r="AM9" s="23">
        <f t="shared" si="2"/>
        <v>9796</v>
      </c>
      <c r="AN9" s="23">
        <f t="shared" si="2"/>
        <v>10452</v>
      </c>
      <c r="AO9" s="23">
        <f t="shared" si="2"/>
        <v>10004</v>
      </c>
      <c r="AP9" s="408">
        <f>AP6-AP8</f>
        <v>39643</v>
      </c>
      <c r="AQ9" s="23">
        <f t="shared" si="2"/>
        <v>10101</v>
      </c>
      <c r="AR9" s="23">
        <f t="shared" si="2"/>
        <v>11126</v>
      </c>
      <c r="AS9" s="23">
        <f t="shared" si="2"/>
        <v>11757</v>
      </c>
      <c r="AT9" s="23">
        <f t="shared" si="2"/>
        <v>11430</v>
      </c>
      <c r="AU9" s="408">
        <f t="shared" ref="AU9:BB9" si="3">AU6-AU8</f>
        <v>44414</v>
      </c>
      <c r="AV9" s="23">
        <f t="shared" si="3"/>
        <v>11551</v>
      </c>
      <c r="AW9" s="23">
        <f t="shared" si="3"/>
        <v>11963</v>
      </c>
      <c r="AX9" s="23">
        <f t="shared" si="3"/>
        <v>11568</v>
      </c>
      <c r="AY9" s="23">
        <f t="shared" si="3"/>
        <v>11175</v>
      </c>
      <c r="AZ9" s="408">
        <f t="shared" si="3"/>
        <v>46257</v>
      </c>
      <c r="BA9" s="23">
        <f t="shared" si="3"/>
        <v>12138</v>
      </c>
      <c r="BB9" s="23">
        <f t="shared" si="3"/>
        <v>12512</v>
      </c>
      <c r="BC9" s="23">
        <f t="shared" ref="BC9:BK9" si="4">BC6-BC8</f>
        <v>12644</v>
      </c>
      <c r="BD9" s="23">
        <f t="shared" si="4"/>
        <v>12350</v>
      </c>
      <c r="BE9" s="408">
        <f t="shared" si="4"/>
        <v>49643</v>
      </c>
      <c r="BF9" s="23">
        <f t="shared" si="4"/>
        <v>13055</v>
      </c>
      <c r="BG9" s="23">
        <f t="shared" si="4"/>
        <v>13690</v>
      </c>
      <c r="BH9" s="23">
        <f t="shared" si="4"/>
        <v>12827</v>
      </c>
      <c r="BI9" s="23">
        <f t="shared" si="4"/>
        <v>14344</v>
      </c>
      <c r="BJ9" s="408">
        <f>SUM(BF9:BI9)-1</f>
        <v>53915</v>
      </c>
      <c r="BK9" s="23">
        <f t="shared" si="4"/>
        <v>15178</v>
      </c>
      <c r="BL9" s="23">
        <f>BL6-BL8</f>
        <v>15301</v>
      </c>
      <c r="BM9" s="23"/>
      <c r="BN9" s="23"/>
      <c r="BO9" s="408">
        <f>SUM(BK9:BN9)</f>
        <v>30479</v>
      </c>
    </row>
    <row r="10" spans="1:67" s="136" customFormat="1">
      <c r="A10" s="139"/>
      <c r="B10" s="140"/>
      <c r="C10" s="23"/>
      <c r="D10" s="23"/>
      <c r="E10" s="23"/>
      <c r="F10" s="23"/>
      <c r="G10" s="406"/>
      <c r="H10" s="23"/>
      <c r="I10" s="23"/>
      <c r="J10" s="23"/>
      <c r="K10" s="23"/>
      <c r="L10" s="406"/>
      <c r="M10" s="23"/>
      <c r="N10" s="23"/>
      <c r="O10" s="23"/>
      <c r="P10" s="23"/>
      <c r="Q10" s="406"/>
      <c r="R10" s="23"/>
      <c r="S10" s="23"/>
      <c r="T10" s="23"/>
      <c r="U10" s="23"/>
      <c r="V10" s="406"/>
      <c r="W10" s="23"/>
      <c r="X10" s="23"/>
      <c r="Y10" s="23"/>
      <c r="Z10" s="23"/>
      <c r="AA10" s="406"/>
      <c r="AB10" s="23"/>
      <c r="AC10" s="23"/>
      <c r="AD10" s="23"/>
      <c r="AE10" s="23"/>
      <c r="AF10" s="406"/>
      <c r="AG10" s="23"/>
      <c r="AH10" s="23"/>
      <c r="AI10" s="23"/>
      <c r="AJ10" s="23"/>
      <c r="AK10" s="406"/>
      <c r="AL10" s="23"/>
      <c r="AM10" s="23"/>
      <c r="AN10" s="23"/>
      <c r="AO10" s="23"/>
      <c r="AP10" s="406"/>
      <c r="AQ10" s="23"/>
      <c r="AR10" s="23"/>
      <c r="AS10" s="23"/>
      <c r="AT10" s="23"/>
      <c r="AU10" s="406"/>
      <c r="AV10" s="23"/>
      <c r="AW10" s="23"/>
      <c r="AX10" s="23"/>
      <c r="AY10" s="23"/>
      <c r="AZ10" s="406"/>
      <c r="BA10" s="23"/>
      <c r="BB10" s="23"/>
      <c r="BC10" s="23"/>
      <c r="BD10" s="23"/>
      <c r="BE10" s="406"/>
      <c r="BF10" s="23"/>
      <c r="BG10" s="23"/>
      <c r="BH10" s="23"/>
      <c r="BI10" s="23"/>
      <c r="BJ10" s="406"/>
      <c r="BK10" s="23"/>
      <c r="BL10" s="23"/>
      <c r="BM10" s="23"/>
      <c r="BN10" s="23"/>
      <c r="BO10" s="406"/>
    </row>
    <row r="11" spans="1:67">
      <c r="A11" s="16"/>
      <c r="B11" s="138" t="s">
        <v>75</v>
      </c>
      <c r="C11" s="89">
        <v>666</v>
      </c>
      <c r="D11" s="89">
        <v>769</v>
      </c>
      <c r="E11" s="89">
        <v>770</v>
      </c>
      <c r="F11" s="89">
        <v>736</v>
      </c>
      <c r="G11" s="406">
        <f>SUM(C11:F11)</f>
        <v>2941</v>
      </c>
      <c r="H11" s="89">
        <v>820</v>
      </c>
      <c r="I11" s="89">
        <v>843</v>
      </c>
      <c r="J11" s="89">
        <v>859</v>
      </c>
      <c r="K11" s="89">
        <v>909</v>
      </c>
      <c r="L11" s="406">
        <f>SUM(H11:K11)</f>
        <v>3431</v>
      </c>
      <c r="M11" s="89">
        <v>920</v>
      </c>
      <c r="N11" s="89">
        <v>897</v>
      </c>
      <c r="O11" s="89">
        <v>885</v>
      </c>
      <c r="P11" s="89">
        <v>889</v>
      </c>
      <c r="Q11" s="406">
        <f>SUM(M11:P11)</f>
        <v>3591</v>
      </c>
      <c r="R11" s="89">
        <v>888</v>
      </c>
      <c r="S11" s="89">
        <v>846</v>
      </c>
      <c r="T11" s="89">
        <v>877</v>
      </c>
      <c r="U11" s="89">
        <v>947</v>
      </c>
      <c r="V11" s="406">
        <f>SUM(R11:U11)+2</f>
        <v>3560</v>
      </c>
      <c r="W11" s="89">
        <v>1005</v>
      </c>
      <c r="X11" s="89">
        <v>1088</v>
      </c>
      <c r="Y11" s="89">
        <v>1156</v>
      </c>
      <c r="Z11" s="89">
        <v>1226</v>
      </c>
      <c r="AA11" s="406">
        <f>SUM(W11:Z11)-2</f>
        <v>4473</v>
      </c>
      <c r="AB11" s="89">
        <v>1174</v>
      </c>
      <c r="AC11" s="89">
        <v>1162</v>
      </c>
      <c r="AD11" s="89">
        <v>1204</v>
      </c>
      <c r="AE11" s="89">
        <v>1172</v>
      </c>
      <c r="AF11" s="406">
        <f>SUM(AB11:AE11)-1</f>
        <v>4711</v>
      </c>
      <c r="AG11" s="89">
        <v>1146</v>
      </c>
      <c r="AH11" s="89">
        <v>1136</v>
      </c>
      <c r="AI11" s="89">
        <v>1145</v>
      </c>
      <c r="AJ11" s="89">
        <v>1200</v>
      </c>
      <c r="AK11" s="406">
        <f>SUM(AG11:AJ11)</f>
        <v>4627</v>
      </c>
      <c r="AL11" s="19">
        <v>1248</v>
      </c>
      <c r="AM11" s="19">
        <v>1235</v>
      </c>
      <c r="AN11" s="19">
        <v>1325</v>
      </c>
      <c r="AO11" s="19">
        <v>1347</v>
      </c>
      <c r="AP11" s="406">
        <f>SUM(AL11:AO11)+1</f>
        <v>5156</v>
      </c>
      <c r="AQ11" s="19">
        <v>1493</v>
      </c>
      <c r="AR11" s="19">
        <v>1486</v>
      </c>
      <c r="AS11" s="19">
        <v>1611</v>
      </c>
      <c r="AT11" s="19">
        <v>1659</v>
      </c>
      <c r="AU11" s="406">
        <f>SUM(AQ11:AT11)</f>
        <v>6249</v>
      </c>
      <c r="AV11" s="19">
        <v>1783</v>
      </c>
      <c r="AW11" s="19">
        <v>1754</v>
      </c>
      <c r="AX11" s="19">
        <v>1700</v>
      </c>
      <c r="AY11" s="19">
        <v>1735</v>
      </c>
      <c r="AZ11" s="406">
        <f>SUM(AV11:AY11)+1</f>
        <v>6973</v>
      </c>
      <c r="BA11" s="19">
        <v>1937</v>
      </c>
      <c r="BB11" s="19">
        <v>1855</v>
      </c>
      <c r="BC11" s="19">
        <v>1839</v>
      </c>
      <c r="BD11" s="19">
        <v>1957</v>
      </c>
      <c r="BE11" s="406">
        <f>SUM(BA11:BD11)</f>
        <v>7588</v>
      </c>
      <c r="BF11" s="19">
        <v>2208</v>
      </c>
      <c r="BG11" s="19">
        <v>2224</v>
      </c>
      <c r="BH11" s="19">
        <v>2292</v>
      </c>
      <c r="BI11" s="19">
        <v>2354</v>
      </c>
      <c r="BJ11" s="406">
        <f>SUM(BF11:BI11)-1</f>
        <v>9077</v>
      </c>
      <c r="BK11" s="19">
        <v>2568</v>
      </c>
      <c r="BL11" s="19">
        <v>2489</v>
      </c>
      <c r="BM11" s="19"/>
      <c r="BN11" s="19"/>
      <c r="BO11" s="406">
        <f>SUM(BK11:BN11)</f>
        <v>5057</v>
      </c>
    </row>
    <row r="12" spans="1:67" ht="14.5">
      <c r="A12" s="16"/>
      <c r="B12" s="138" t="s">
        <v>76</v>
      </c>
      <c r="C12" s="150">
        <v>847</v>
      </c>
      <c r="D12" s="150">
        <v>889</v>
      </c>
      <c r="E12" s="150">
        <v>875</v>
      </c>
      <c r="F12" s="150">
        <v>1052</v>
      </c>
      <c r="G12" s="407">
        <f>SUM(C12:F12)</f>
        <v>3663</v>
      </c>
      <c r="H12" s="150">
        <v>964</v>
      </c>
      <c r="I12" s="150">
        <v>1075</v>
      </c>
      <c r="J12" s="150">
        <v>1094</v>
      </c>
      <c r="K12" s="150">
        <v>1159</v>
      </c>
      <c r="L12" s="407">
        <f>SUM(H12:K12)</f>
        <v>4292</v>
      </c>
      <c r="M12" s="150">
        <v>1134</v>
      </c>
      <c r="N12" s="150">
        <v>1142</v>
      </c>
      <c r="O12" s="150">
        <v>1214</v>
      </c>
      <c r="P12" s="150">
        <v>1249</v>
      </c>
      <c r="Q12" s="407">
        <f>SUM(M12:P12)</f>
        <v>4739</v>
      </c>
      <c r="R12" s="150">
        <v>1179</v>
      </c>
      <c r="S12" s="150">
        <v>1248</v>
      </c>
      <c r="T12" s="150">
        <v>1148</v>
      </c>
      <c r="U12" s="150">
        <v>1110</v>
      </c>
      <c r="V12" s="407">
        <f>SUM(R12:U12)-1</f>
        <v>4684</v>
      </c>
      <c r="W12" s="150">
        <v>1298</v>
      </c>
      <c r="X12" s="150">
        <v>1346</v>
      </c>
      <c r="Y12" s="150">
        <v>1398</v>
      </c>
      <c r="Z12" s="150">
        <v>1412</v>
      </c>
      <c r="AA12" s="407">
        <f>SUM(W12:Z12)+1</f>
        <v>5455</v>
      </c>
      <c r="AB12" s="150">
        <v>1379</v>
      </c>
      <c r="AC12" s="150">
        <v>1476</v>
      </c>
      <c r="AD12" s="150">
        <v>1451</v>
      </c>
      <c r="AE12" s="150">
        <v>1667</v>
      </c>
      <c r="AF12" s="407">
        <f>SUM(AB12:AE12)+1</f>
        <v>5974</v>
      </c>
      <c r="AG12" s="150">
        <v>1451</v>
      </c>
      <c r="AH12" s="150">
        <v>1435</v>
      </c>
      <c r="AI12" s="150">
        <v>1416</v>
      </c>
      <c r="AJ12" s="150">
        <v>1507</v>
      </c>
      <c r="AK12" s="407">
        <f>SUM(AG12:AJ12)+1</f>
        <v>5810</v>
      </c>
      <c r="AL12" s="209">
        <v>1539</v>
      </c>
      <c r="AM12" s="209">
        <v>1589</v>
      </c>
      <c r="AN12" s="209">
        <v>1643</v>
      </c>
      <c r="AO12" s="209">
        <v>1701</v>
      </c>
      <c r="AP12" s="407">
        <f>SUM(AL12:AO12)</f>
        <v>6472</v>
      </c>
      <c r="AQ12" s="209">
        <v>1694</v>
      </c>
      <c r="AR12" s="209">
        <v>1767</v>
      </c>
      <c r="AS12" s="209">
        <v>1904</v>
      </c>
      <c r="AT12" s="209">
        <v>1894</v>
      </c>
      <c r="AU12" s="407">
        <f>SUM(AQ12:AT12)+1</f>
        <v>7260</v>
      </c>
      <c r="AV12" s="209">
        <v>1877</v>
      </c>
      <c r="AW12" s="209">
        <v>1935</v>
      </c>
      <c r="AX12" s="209">
        <v>1907</v>
      </c>
      <c r="AY12" s="209">
        <v>1819</v>
      </c>
      <c r="AZ12" s="407">
        <f>SUM(AV12:AY12)-1</f>
        <v>7537</v>
      </c>
      <c r="BA12" s="209">
        <v>1913</v>
      </c>
      <c r="BB12" s="209">
        <v>2008</v>
      </c>
      <c r="BC12" s="209">
        <v>1893</v>
      </c>
      <c r="BD12" s="209">
        <v>1818</v>
      </c>
      <c r="BE12" s="407">
        <f>SUM(BA12:BD12)-1</f>
        <v>7631</v>
      </c>
      <c r="BF12" s="209">
        <v>2044</v>
      </c>
      <c r="BG12" s="209">
        <v>2113</v>
      </c>
      <c r="BH12" s="209">
        <v>2180</v>
      </c>
      <c r="BI12" s="209">
        <v>2247</v>
      </c>
      <c r="BJ12" s="407">
        <f>SUM(BF12:BI12)</f>
        <v>8584</v>
      </c>
      <c r="BK12" s="209">
        <v>2447</v>
      </c>
      <c r="BL12" s="209">
        <v>2482</v>
      </c>
      <c r="BM12" s="209"/>
      <c r="BN12" s="209"/>
      <c r="BO12" s="407">
        <f>SUM(BK12:BN12)-1</f>
        <v>4928</v>
      </c>
    </row>
    <row r="13" spans="1:67" s="85" customFormat="1">
      <c r="A13" s="39"/>
      <c r="B13" s="36" t="s">
        <v>77</v>
      </c>
      <c r="C13" s="93">
        <f>SUM(C11:C12)</f>
        <v>1513</v>
      </c>
      <c r="D13" s="93">
        <f>SUM(D11:D12)</f>
        <v>1658</v>
      </c>
      <c r="E13" s="93">
        <f>SUM(E11:E12)</f>
        <v>1645</v>
      </c>
      <c r="F13" s="93">
        <f>SUM(F11:F12)</f>
        <v>1788</v>
      </c>
      <c r="G13" s="408">
        <f>SUM(C13:F13)</f>
        <v>6604</v>
      </c>
      <c r="H13" s="93">
        <f t="shared" ref="H13:P13" si="5">SUM(H11:H12)</f>
        <v>1784</v>
      </c>
      <c r="I13" s="93">
        <f t="shared" si="5"/>
        <v>1918</v>
      </c>
      <c r="J13" s="93">
        <f t="shared" si="5"/>
        <v>1953</v>
      </c>
      <c r="K13" s="93">
        <f t="shared" si="5"/>
        <v>2068</v>
      </c>
      <c r="L13" s="408">
        <f t="shared" si="5"/>
        <v>7723</v>
      </c>
      <c r="M13" s="93">
        <f t="shared" si="5"/>
        <v>2054</v>
      </c>
      <c r="N13" s="93">
        <f t="shared" si="5"/>
        <v>2039</v>
      </c>
      <c r="O13" s="93">
        <f>SUM(O11:O12)</f>
        <v>2099</v>
      </c>
      <c r="P13" s="93">
        <f t="shared" si="5"/>
        <v>2138</v>
      </c>
      <c r="Q13" s="408">
        <f t="shared" ref="Q13:AB13" si="6">SUM(Q11:Q12)</f>
        <v>8330</v>
      </c>
      <c r="R13" s="93">
        <f t="shared" si="6"/>
        <v>2067</v>
      </c>
      <c r="S13" s="93">
        <f t="shared" si="6"/>
        <v>2094</v>
      </c>
      <c r="T13" s="93">
        <f t="shared" si="6"/>
        <v>2025</v>
      </c>
      <c r="U13" s="93">
        <f t="shared" si="6"/>
        <v>2057</v>
      </c>
      <c r="V13" s="408">
        <f t="shared" si="6"/>
        <v>8244</v>
      </c>
      <c r="W13" s="93">
        <f t="shared" si="6"/>
        <v>2303</v>
      </c>
      <c r="X13" s="93">
        <f t="shared" si="6"/>
        <v>2434</v>
      </c>
      <c r="Y13" s="93">
        <f t="shared" si="6"/>
        <v>2554</v>
      </c>
      <c r="Z13" s="93">
        <f t="shared" si="6"/>
        <v>2638</v>
      </c>
      <c r="AA13" s="408">
        <f>SUM(AA11:AA12)</f>
        <v>9928</v>
      </c>
      <c r="AB13" s="93">
        <f t="shared" si="6"/>
        <v>2553</v>
      </c>
      <c r="AC13" s="93">
        <f t="shared" ref="AC13:AT13" si="7">SUM(AC11:AC12)</f>
        <v>2638</v>
      </c>
      <c r="AD13" s="93">
        <f t="shared" si="7"/>
        <v>2655</v>
      </c>
      <c r="AE13" s="93">
        <f t="shared" si="7"/>
        <v>2839</v>
      </c>
      <c r="AF13" s="408">
        <f t="shared" si="7"/>
        <v>10685</v>
      </c>
      <c r="AG13" s="93">
        <f t="shared" si="7"/>
        <v>2597</v>
      </c>
      <c r="AH13" s="93">
        <f t="shared" si="7"/>
        <v>2571</v>
      </c>
      <c r="AI13" s="93">
        <f t="shared" si="7"/>
        <v>2561</v>
      </c>
      <c r="AJ13" s="93">
        <f t="shared" si="7"/>
        <v>2707</v>
      </c>
      <c r="AK13" s="408">
        <f>SUM(AK11:AK12)</f>
        <v>10437</v>
      </c>
      <c r="AL13" s="23">
        <f t="shared" si="7"/>
        <v>2787</v>
      </c>
      <c r="AM13" s="23">
        <f t="shared" si="7"/>
        <v>2824</v>
      </c>
      <c r="AN13" s="23">
        <f t="shared" si="7"/>
        <v>2968</v>
      </c>
      <c r="AO13" s="23">
        <f t="shared" si="7"/>
        <v>3048</v>
      </c>
      <c r="AP13" s="408">
        <f>SUM(AP11:AP12)</f>
        <v>11628</v>
      </c>
      <c r="AQ13" s="23">
        <f t="shared" si="7"/>
        <v>3187</v>
      </c>
      <c r="AR13" s="23">
        <f t="shared" si="7"/>
        <v>3253</v>
      </c>
      <c r="AS13" s="23">
        <f t="shared" si="7"/>
        <v>3515</v>
      </c>
      <c r="AT13" s="23">
        <f t="shared" si="7"/>
        <v>3553</v>
      </c>
      <c r="AU13" s="408">
        <f t="shared" ref="AU13:BB13" si="8">SUM(AU11:AU12)</f>
        <v>13509</v>
      </c>
      <c r="AV13" s="23">
        <f t="shared" si="8"/>
        <v>3660</v>
      </c>
      <c r="AW13" s="23">
        <f t="shared" si="8"/>
        <v>3689</v>
      </c>
      <c r="AX13" s="23">
        <f t="shared" si="8"/>
        <v>3607</v>
      </c>
      <c r="AY13" s="23">
        <f t="shared" si="8"/>
        <v>3554</v>
      </c>
      <c r="AZ13" s="408">
        <f t="shared" si="8"/>
        <v>14510</v>
      </c>
      <c r="BA13" s="23">
        <f t="shared" si="8"/>
        <v>3850</v>
      </c>
      <c r="BB13" s="23">
        <f t="shared" si="8"/>
        <v>3863</v>
      </c>
      <c r="BC13" s="23">
        <f t="shared" ref="BC13:BK13" si="9">SUM(BC11:BC12)</f>
        <v>3732</v>
      </c>
      <c r="BD13" s="23">
        <f t="shared" si="9"/>
        <v>3775</v>
      </c>
      <c r="BE13" s="408">
        <f t="shared" si="9"/>
        <v>15219</v>
      </c>
      <c r="BF13" s="23">
        <f t="shared" si="9"/>
        <v>4252</v>
      </c>
      <c r="BG13" s="23">
        <f t="shared" si="9"/>
        <v>4337</v>
      </c>
      <c r="BH13" s="23">
        <f t="shared" si="9"/>
        <v>4472</v>
      </c>
      <c r="BI13" s="23">
        <f t="shared" si="9"/>
        <v>4601</v>
      </c>
      <c r="BJ13" s="408">
        <f>SUM(BF13:BI13)-1</f>
        <v>17661</v>
      </c>
      <c r="BK13" s="23">
        <f t="shared" si="9"/>
        <v>5015</v>
      </c>
      <c r="BL13" s="23">
        <f>SUM(BL11:BL12)</f>
        <v>4971</v>
      </c>
      <c r="BM13" s="23"/>
      <c r="BN13" s="23"/>
      <c r="BO13" s="408">
        <f>SUM(BK13:BN13)-1</f>
        <v>9985</v>
      </c>
    </row>
    <row r="14" spans="1:67">
      <c r="A14" s="16"/>
      <c r="B14" s="138"/>
      <c r="C14" s="16"/>
      <c r="D14" s="16"/>
      <c r="E14" s="16"/>
      <c r="F14" s="16"/>
      <c r="G14" s="406"/>
      <c r="H14" s="16"/>
      <c r="I14" s="16"/>
      <c r="J14" s="16"/>
      <c r="K14" s="16"/>
      <c r="L14" s="406"/>
      <c r="M14" s="16"/>
      <c r="N14" s="16"/>
      <c r="O14" s="16"/>
      <c r="P14" s="16"/>
      <c r="Q14" s="406"/>
      <c r="R14" s="16"/>
      <c r="S14" s="16"/>
      <c r="T14" s="16"/>
      <c r="U14" s="16"/>
      <c r="V14" s="406"/>
      <c r="W14" s="16"/>
      <c r="X14" s="16"/>
      <c r="Y14" s="16"/>
      <c r="Z14" s="16"/>
      <c r="AA14" s="406"/>
      <c r="AB14" s="16"/>
      <c r="AC14" s="16"/>
      <c r="AD14" s="16"/>
      <c r="AE14" s="16"/>
      <c r="AF14" s="406"/>
      <c r="AG14" s="16"/>
      <c r="AH14" s="16"/>
      <c r="AI14" s="16"/>
      <c r="AJ14" s="16"/>
      <c r="AK14" s="406"/>
      <c r="AL14" s="16"/>
      <c r="AM14" s="16"/>
      <c r="AN14" s="16"/>
      <c r="AO14" s="16"/>
      <c r="AP14" s="406"/>
      <c r="AQ14" s="16"/>
      <c r="AR14" s="16"/>
      <c r="AS14" s="16"/>
      <c r="AT14" s="16"/>
      <c r="AU14" s="406"/>
      <c r="AV14" s="16"/>
      <c r="AW14" s="16"/>
      <c r="AX14" s="16"/>
      <c r="AY14" s="16"/>
      <c r="AZ14" s="406"/>
      <c r="BA14" s="16"/>
      <c r="BB14" s="16"/>
      <c r="BC14" s="16"/>
      <c r="BD14" s="16"/>
      <c r="BE14" s="406"/>
      <c r="BF14" s="16"/>
      <c r="BG14" s="16"/>
      <c r="BH14" s="16"/>
      <c r="BI14" s="16"/>
      <c r="BJ14" s="406"/>
      <c r="BK14" s="16"/>
      <c r="BL14" s="16"/>
      <c r="BM14" s="16"/>
      <c r="BN14" s="16"/>
      <c r="BO14" s="406"/>
    </row>
    <row r="15" spans="1:67" s="136" customFormat="1">
      <c r="A15" s="139"/>
      <c r="B15" s="140" t="s">
        <v>78</v>
      </c>
      <c r="C15" s="23">
        <f>C9-C13</f>
        <v>3211</v>
      </c>
      <c r="D15" s="23">
        <f>D9-D13</f>
        <v>3483</v>
      </c>
      <c r="E15" s="23">
        <f>E9-E13</f>
        <v>3689</v>
      </c>
      <c r="F15" s="23">
        <f>F9-F13</f>
        <v>3449</v>
      </c>
      <c r="G15" s="408">
        <f>SUM(C15:F15)</f>
        <v>13832</v>
      </c>
      <c r="H15" s="23">
        <f t="shared" ref="H15:AU15" si="10">H9-H13</f>
        <v>3447</v>
      </c>
      <c r="I15" s="23">
        <f t="shared" si="10"/>
        <v>3993</v>
      </c>
      <c r="J15" s="23">
        <f t="shared" si="10"/>
        <v>3959</v>
      </c>
      <c r="K15" s="23">
        <f t="shared" si="10"/>
        <v>4220</v>
      </c>
      <c r="L15" s="408">
        <f t="shared" si="10"/>
        <v>15620</v>
      </c>
      <c r="M15" s="23">
        <f t="shared" si="10"/>
        <v>4047</v>
      </c>
      <c r="N15" s="23">
        <f t="shared" si="10"/>
        <v>4309</v>
      </c>
      <c r="O15" s="23">
        <f t="shared" si="10"/>
        <v>4334</v>
      </c>
      <c r="P15" s="23">
        <f t="shared" si="10"/>
        <v>4212</v>
      </c>
      <c r="Q15" s="408">
        <f t="shared" si="10"/>
        <v>16901</v>
      </c>
      <c r="R15" s="23">
        <f t="shared" si="10"/>
        <v>4111</v>
      </c>
      <c r="S15" s="23">
        <f t="shared" si="10"/>
        <v>4246</v>
      </c>
      <c r="T15" s="23">
        <f t="shared" si="10"/>
        <v>4319</v>
      </c>
      <c r="U15" s="23">
        <f t="shared" si="10"/>
        <v>4472</v>
      </c>
      <c r="V15" s="408">
        <f t="shared" si="10"/>
        <v>17148</v>
      </c>
      <c r="W15" s="23">
        <f t="shared" si="10"/>
        <v>4537</v>
      </c>
      <c r="X15" s="23">
        <f t="shared" si="10"/>
        <v>4894</v>
      </c>
      <c r="Y15" s="23">
        <f t="shared" si="10"/>
        <v>4830</v>
      </c>
      <c r="Z15" s="23">
        <f t="shared" si="10"/>
        <v>4618</v>
      </c>
      <c r="AA15" s="408">
        <f t="shared" si="10"/>
        <v>18880</v>
      </c>
      <c r="AB15" s="23">
        <f t="shared" si="10"/>
        <v>4471</v>
      </c>
      <c r="AC15" s="23">
        <f t="shared" si="10"/>
        <v>4912</v>
      </c>
      <c r="AD15" s="23">
        <f t="shared" si="10"/>
        <v>5064</v>
      </c>
      <c r="AE15" s="23">
        <f t="shared" si="10"/>
        <v>4927</v>
      </c>
      <c r="AF15" s="408">
        <f t="shared" si="10"/>
        <v>19374</v>
      </c>
      <c r="AG15" s="23">
        <f t="shared" si="10"/>
        <v>5365</v>
      </c>
      <c r="AH15" s="23">
        <f t="shared" si="10"/>
        <v>6228</v>
      </c>
      <c r="AI15" s="23">
        <f t="shared" si="10"/>
        <v>6589</v>
      </c>
      <c r="AJ15" s="23">
        <f t="shared" si="10"/>
        <v>6440</v>
      </c>
      <c r="AK15" s="408">
        <f t="shared" si="10"/>
        <v>24622</v>
      </c>
      <c r="AL15" s="23">
        <f t="shared" si="10"/>
        <v>6603</v>
      </c>
      <c r="AM15" s="23">
        <f t="shared" si="10"/>
        <v>6972</v>
      </c>
      <c r="AN15" s="23">
        <f t="shared" si="10"/>
        <v>7484</v>
      </c>
      <c r="AO15" s="23">
        <f t="shared" si="10"/>
        <v>6956</v>
      </c>
      <c r="AP15" s="408">
        <f t="shared" si="10"/>
        <v>28015</v>
      </c>
      <c r="AQ15" s="23">
        <f t="shared" si="10"/>
        <v>6914</v>
      </c>
      <c r="AR15" s="23">
        <f t="shared" si="10"/>
        <v>7873</v>
      </c>
      <c r="AS15" s="23">
        <f t="shared" si="10"/>
        <v>8242</v>
      </c>
      <c r="AT15" s="23">
        <f t="shared" si="10"/>
        <v>7877</v>
      </c>
      <c r="AU15" s="408">
        <f t="shared" si="10"/>
        <v>30905</v>
      </c>
      <c r="AV15" s="23">
        <f t="shared" ref="AV15:BA15" si="11">AV9-AV13</f>
        <v>7891</v>
      </c>
      <c r="AW15" s="23">
        <f t="shared" si="11"/>
        <v>8274</v>
      </c>
      <c r="AX15" s="23">
        <f t="shared" si="11"/>
        <v>7961</v>
      </c>
      <c r="AY15" s="23">
        <f t="shared" si="11"/>
        <v>7621</v>
      </c>
      <c r="AZ15" s="408">
        <f t="shared" si="11"/>
        <v>31747</v>
      </c>
      <c r="BA15" s="23">
        <f t="shared" si="11"/>
        <v>8288</v>
      </c>
      <c r="BB15" s="23">
        <f t="shared" ref="BB15:BK15" si="12">BB9-BB13</f>
        <v>8649</v>
      </c>
      <c r="BC15" s="23">
        <f t="shared" si="12"/>
        <v>8912</v>
      </c>
      <c r="BD15" s="23">
        <f t="shared" si="12"/>
        <v>8575</v>
      </c>
      <c r="BE15" s="408">
        <f t="shared" si="12"/>
        <v>34424</v>
      </c>
      <c r="BF15" s="23">
        <f t="shared" si="12"/>
        <v>8803</v>
      </c>
      <c r="BG15" s="23">
        <f t="shared" si="12"/>
        <v>9353</v>
      </c>
      <c r="BH15" s="23">
        <f t="shared" si="12"/>
        <v>8355</v>
      </c>
      <c r="BI15" s="23">
        <f t="shared" si="12"/>
        <v>9743</v>
      </c>
      <c r="BJ15" s="408">
        <f>BJ9-BJ13</f>
        <v>36254</v>
      </c>
      <c r="BK15" s="23">
        <f t="shared" si="12"/>
        <v>10163</v>
      </c>
      <c r="BL15" s="23">
        <f>BL9-BL13</f>
        <v>10330</v>
      </c>
      <c r="BM15" s="23"/>
      <c r="BN15" s="23"/>
      <c r="BO15" s="408">
        <f>BO9-BO13</f>
        <v>20494</v>
      </c>
    </row>
    <row r="16" spans="1:67" s="136" customFormat="1">
      <c r="A16" s="139"/>
      <c r="B16" s="138" t="s">
        <v>79</v>
      </c>
      <c r="C16" s="23"/>
      <c r="D16" s="23"/>
      <c r="E16" s="23"/>
      <c r="F16" s="23"/>
      <c r="G16" s="408"/>
      <c r="H16" s="23"/>
      <c r="I16" s="23"/>
      <c r="J16" s="23"/>
      <c r="K16" s="23"/>
      <c r="L16" s="408"/>
      <c r="M16" s="23"/>
      <c r="N16" s="23"/>
      <c r="O16" s="23"/>
      <c r="P16" s="23"/>
      <c r="Q16" s="408"/>
      <c r="R16" s="23"/>
      <c r="S16" s="23"/>
      <c r="T16" s="23"/>
      <c r="U16" s="23"/>
      <c r="V16" s="408"/>
      <c r="W16" s="23"/>
      <c r="X16" s="23"/>
      <c r="Y16" s="23"/>
      <c r="Z16" s="23"/>
      <c r="AA16" s="408"/>
      <c r="AB16" s="23"/>
      <c r="AC16" s="23"/>
      <c r="AD16" s="23"/>
      <c r="AE16" s="23"/>
      <c r="AF16" s="408"/>
      <c r="AG16" s="23"/>
      <c r="AH16" s="23"/>
      <c r="AI16" s="23"/>
      <c r="AJ16" s="23"/>
      <c r="AK16" s="408"/>
      <c r="AL16" s="23"/>
      <c r="AM16" s="23"/>
      <c r="AN16" s="23"/>
      <c r="AO16" s="23"/>
      <c r="AP16" s="408"/>
      <c r="AQ16" s="23"/>
      <c r="AR16" s="23"/>
      <c r="AS16" s="23"/>
      <c r="AT16" s="23"/>
      <c r="AU16" s="408"/>
      <c r="AV16" s="23"/>
      <c r="AW16" s="23"/>
      <c r="AX16" s="23"/>
      <c r="AY16" s="23"/>
      <c r="AZ16" s="408"/>
      <c r="BA16" s="23"/>
      <c r="BB16" s="23"/>
      <c r="BC16" s="23"/>
      <c r="BD16" s="23"/>
      <c r="BE16" s="408"/>
      <c r="BF16" s="23"/>
      <c r="BG16" s="23"/>
      <c r="BH16" s="23">
        <v>1289</v>
      </c>
      <c r="BI16" s="23"/>
      <c r="BJ16" s="408">
        <f>SUM(BF16:BI16)</f>
        <v>1289</v>
      </c>
      <c r="BK16" s="23"/>
      <c r="BL16" s="23"/>
      <c r="BM16" s="23"/>
      <c r="BN16" s="23"/>
      <c r="BO16" s="408"/>
    </row>
    <row r="17" spans="1:67" s="136" customFormat="1">
      <c r="A17" s="139"/>
      <c r="B17" s="140" t="s">
        <v>80</v>
      </c>
      <c r="C17" s="23"/>
      <c r="D17" s="23"/>
      <c r="E17" s="23"/>
      <c r="F17" s="23"/>
      <c r="G17" s="408"/>
      <c r="H17" s="23"/>
      <c r="I17" s="23"/>
      <c r="J17" s="23"/>
      <c r="K17" s="23"/>
      <c r="L17" s="408"/>
      <c r="M17" s="23"/>
      <c r="N17" s="23"/>
      <c r="O17" s="23"/>
      <c r="P17" s="23"/>
      <c r="Q17" s="408"/>
      <c r="R17" s="23"/>
      <c r="S17" s="23"/>
      <c r="T17" s="23"/>
      <c r="U17" s="23"/>
      <c r="V17" s="408"/>
      <c r="W17" s="23"/>
      <c r="X17" s="23"/>
      <c r="Y17" s="23"/>
      <c r="Z17" s="23"/>
      <c r="AA17" s="408"/>
      <c r="AB17" s="23"/>
      <c r="AC17" s="23"/>
      <c r="AD17" s="23"/>
      <c r="AE17" s="23"/>
      <c r="AF17" s="408"/>
      <c r="AG17" s="23"/>
      <c r="AH17" s="23"/>
      <c r="AI17" s="23"/>
      <c r="AJ17" s="23"/>
      <c r="AK17" s="408"/>
      <c r="AL17" s="23"/>
      <c r="AM17" s="23"/>
      <c r="AN17" s="23"/>
      <c r="AO17" s="23"/>
      <c r="AP17" s="408"/>
      <c r="AQ17" s="23"/>
      <c r="AR17" s="23"/>
      <c r="AS17" s="23"/>
      <c r="AT17" s="23"/>
      <c r="AU17" s="408"/>
      <c r="AV17" s="23"/>
      <c r="AW17" s="23"/>
      <c r="AX17" s="23"/>
      <c r="AY17" s="23"/>
      <c r="AZ17" s="408"/>
      <c r="BA17" s="23"/>
      <c r="BB17" s="23"/>
      <c r="BC17" s="23"/>
      <c r="BD17" s="23"/>
      <c r="BE17" s="408"/>
      <c r="BF17" s="23"/>
      <c r="BG17" s="23"/>
      <c r="BH17" s="23">
        <f>BH15+BH16</f>
        <v>9644</v>
      </c>
      <c r="BI17" s="23"/>
      <c r="BJ17" s="408">
        <f>BJ15+BJ16</f>
        <v>37543</v>
      </c>
      <c r="BK17" s="23"/>
      <c r="BL17" s="23"/>
      <c r="BM17" s="23"/>
      <c r="BN17" s="23"/>
      <c r="BO17" s="408"/>
    </row>
    <row r="18" spans="1:67" s="136" customFormat="1">
      <c r="A18" s="139"/>
      <c r="B18" s="140"/>
      <c r="C18" s="23"/>
      <c r="D18" s="23"/>
      <c r="E18" s="23"/>
      <c r="F18" s="23"/>
      <c r="G18" s="408"/>
      <c r="H18" s="23"/>
      <c r="I18" s="23"/>
      <c r="J18" s="23"/>
      <c r="K18" s="23"/>
      <c r="L18" s="408"/>
      <c r="M18" s="23"/>
      <c r="N18" s="23"/>
      <c r="O18" s="23"/>
      <c r="P18" s="23"/>
      <c r="Q18" s="408"/>
      <c r="R18" s="23"/>
      <c r="S18" s="23"/>
      <c r="T18" s="23"/>
      <c r="U18" s="23"/>
      <c r="V18" s="408"/>
      <c r="W18" s="23"/>
      <c r="X18" s="23"/>
      <c r="Y18" s="23"/>
      <c r="Z18" s="23"/>
      <c r="AA18" s="408"/>
      <c r="AB18" s="23"/>
      <c r="AC18" s="23"/>
      <c r="AD18" s="23"/>
      <c r="AE18" s="23"/>
      <c r="AF18" s="408"/>
      <c r="AG18" s="23"/>
      <c r="AH18" s="23"/>
      <c r="AI18" s="23"/>
      <c r="AJ18" s="23"/>
      <c r="AK18" s="408"/>
      <c r="AL18" s="23"/>
      <c r="AM18" s="23"/>
      <c r="AN18" s="23"/>
      <c r="AO18" s="23"/>
      <c r="AP18" s="408"/>
      <c r="AQ18" s="23"/>
      <c r="AR18" s="23"/>
      <c r="AS18" s="23"/>
      <c r="AT18" s="23"/>
      <c r="AU18" s="408"/>
      <c r="AV18" s="23"/>
      <c r="AW18" s="23"/>
      <c r="AX18" s="23"/>
      <c r="AY18" s="23"/>
      <c r="AZ18" s="408"/>
      <c r="BA18" s="23"/>
      <c r="BB18" s="23"/>
      <c r="BC18" s="23"/>
      <c r="BD18" s="23"/>
      <c r="BE18" s="408"/>
      <c r="BF18" s="23"/>
      <c r="BG18" s="23"/>
      <c r="BH18" s="23"/>
      <c r="BI18" s="23"/>
      <c r="BJ18" s="408"/>
      <c r="BK18" s="23"/>
      <c r="BL18" s="23"/>
      <c r="BM18" s="23"/>
      <c r="BN18" s="23"/>
      <c r="BO18" s="408"/>
    </row>
    <row r="19" spans="1:67" s="203" customFormat="1">
      <c r="A19" s="201"/>
      <c r="B19" s="202" t="s">
        <v>81</v>
      </c>
      <c r="C19" s="13">
        <f>C15/C6</f>
        <v>0.25144870790916207</v>
      </c>
      <c r="D19" s="13">
        <f>D15/D6</f>
        <v>0.26105531404587018</v>
      </c>
      <c r="E19" s="13">
        <f t="shared" ref="E19:AJ19" si="13">E15/E6</f>
        <v>0.26739634676717888</v>
      </c>
      <c r="F19" s="13">
        <f t="shared" si="13"/>
        <v>0.25717694429945565</v>
      </c>
      <c r="G19" s="14">
        <f t="shared" si="13"/>
        <v>0.25941971904949457</v>
      </c>
      <c r="H19" s="13">
        <f t="shared" si="13"/>
        <v>0.24014212066322976</v>
      </c>
      <c r="I19" s="13">
        <f t="shared" si="13"/>
        <v>0.2553885513271506</v>
      </c>
      <c r="J19" s="13">
        <f t="shared" si="13"/>
        <v>0.24896239466733744</v>
      </c>
      <c r="K19" s="13">
        <f t="shared" si="13"/>
        <v>0.25498489425981874</v>
      </c>
      <c r="L19" s="14">
        <f t="shared" si="13"/>
        <v>0.25015614740314857</v>
      </c>
      <c r="M19" s="13">
        <f t="shared" si="13"/>
        <v>0.24115123346442618</v>
      </c>
      <c r="N19" s="13">
        <f t="shared" si="13"/>
        <v>0.2489312536106297</v>
      </c>
      <c r="O19" s="13">
        <f t="shared" si="13"/>
        <v>0.25091182770798354</v>
      </c>
      <c r="P19" s="13">
        <f t="shared" si="13"/>
        <v>0.24602803738317758</v>
      </c>
      <c r="Q19" s="14">
        <f t="shared" si="13"/>
        <v>0.24678757081946148</v>
      </c>
      <c r="R19" s="13">
        <f t="shared" si="13"/>
        <v>0.24071905375336691</v>
      </c>
      <c r="S19" s="13">
        <f t="shared" si="13"/>
        <v>0.2417031934877896</v>
      </c>
      <c r="T19" s="13">
        <f t="shared" si="13"/>
        <v>0.24272226593233676</v>
      </c>
      <c r="U19" s="13">
        <f t="shared" si="13"/>
        <v>0.24730409777138748</v>
      </c>
      <c r="V19" s="14">
        <f t="shared" si="13"/>
        <v>0.24315816340999971</v>
      </c>
      <c r="W19" s="13">
        <f t="shared" si="13"/>
        <v>0.23719155165202843</v>
      </c>
      <c r="X19" s="13">
        <f t="shared" si="13"/>
        <v>0.23746906691251396</v>
      </c>
      <c r="Y19" s="13">
        <f t="shared" si="13"/>
        <v>0.22570093457943924</v>
      </c>
      <c r="Z19" s="13">
        <f t="shared" si="13"/>
        <v>0.21440178281257255</v>
      </c>
      <c r="AA19" s="14">
        <f t="shared" si="13"/>
        <v>0.22836407620199578</v>
      </c>
      <c r="AB19" s="13">
        <f t="shared" si="13"/>
        <v>0.2050635233683438</v>
      </c>
      <c r="AC19" s="13">
        <f t="shared" si="13"/>
        <v>0.21706659596093508</v>
      </c>
      <c r="AD19" s="13">
        <f t="shared" si="13"/>
        <v>0.21929672613892257</v>
      </c>
      <c r="AE19" s="13">
        <f t="shared" si="13"/>
        <v>0.21175914385180727</v>
      </c>
      <c r="AF19" s="14">
        <f t="shared" si="13"/>
        <v>0.21339119516251612</v>
      </c>
      <c r="AG19" s="13">
        <f t="shared" si="13"/>
        <v>0.22670610606380731</v>
      </c>
      <c r="AH19" s="13">
        <f t="shared" si="13"/>
        <v>0.25347985347985347</v>
      </c>
      <c r="AI19" s="13">
        <f t="shared" si="13"/>
        <v>0.25413661434026302</v>
      </c>
      <c r="AJ19" s="13">
        <f t="shared" si="13"/>
        <v>0.24476454714758086</v>
      </c>
      <c r="AK19" s="14">
        <f>AK15/AK6</f>
        <v>0.24506330121824987</v>
      </c>
      <c r="AL19" s="13">
        <f>AL15/AL6</f>
        <v>0.23670060223687983</v>
      </c>
      <c r="AM19" s="13">
        <f>AM15/AM6</f>
        <v>0.23552462671441118</v>
      </c>
      <c r="AN19" s="13">
        <f>AN15/AN6</f>
        <v>0.23485109988389244</v>
      </c>
      <c r="AO19" s="13">
        <v>0.215</v>
      </c>
      <c r="AP19" s="14">
        <f t="shared" ref="AP19:AW19" si="14">AP15/AP6</f>
        <v>0.23030885967724699</v>
      </c>
      <c r="AQ19" s="13">
        <f t="shared" si="14"/>
        <v>0.20058021467943138</v>
      </c>
      <c r="AR19" s="13">
        <f t="shared" si="14"/>
        <v>0.21547430072800919</v>
      </c>
      <c r="AS19" s="13">
        <f t="shared" si="14"/>
        <v>0.21509473354559214</v>
      </c>
      <c r="AT19" s="13">
        <f t="shared" si="14"/>
        <v>0.21038433802515957</v>
      </c>
      <c r="AU19" s="14">
        <f t="shared" si="14"/>
        <v>0.21057185879659596</v>
      </c>
      <c r="AV19" s="13">
        <f t="shared" si="14"/>
        <v>0.20802467508501832</v>
      </c>
      <c r="AW19" s="13">
        <f t="shared" si="14"/>
        <v>0.21218649022926603</v>
      </c>
      <c r="AX19" s="13">
        <f t="shared" ref="AX19:BC19" si="15">AX15/AX6</f>
        <v>0.20506942118956234</v>
      </c>
      <c r="AY19" s="13">
        <f t="shared" si="15"/>
        <v>0.20095983967513117</v>
      </c>
      <c r="AZ19" s="14">
        <f t="shared" si="15"/>
        <v>0.20659204789483959</v>
      </c>
      <c r="BA19" s="13">
        <f t="shared" si="15"/>
        <v>0.21081012336258426</v>
      </c>
      <c r="BB19" s="13">
        <f t="shared" si="15"/>
        <v>0.21102327624066755</v>
      </c>
      <c r="BC19" s="13">
        <f t="shared" si="15"/>
        <v>0.21338952207642947</v>
      </c>
      <c r="BD19" s="13">
        <f t="shared" ref="BD19:BJ19" si="16">BD15/BD6</f>
        <v>0.20952962736713501</v>
      </c>
      <c r="BE19" s="14">
        <f t="shared" si="16"/>
        <v>0.21120314129701209</v>
      </c>
      <c r="BF19" s="13">
        <f t="shared" si="16"/>
        <v>0.20821211476146551</v>
      </c>
      <c r="BG19" s="13">
        <f t="shared" si="16"/>
        <v>0.21022701730726007</v>
      </c>
      <c r="BH19" s="13">
        <f t="shared" si="16"/>
        <v>0.18371116339409399</v>
      </c>
      <c r="BI19" s="13">
        <f t="shared" si="16"/>
        <v>0.20996939787078142</v>
      </c>
      <c r="BJ19" s="14">
        <f t="shared" si="16"/>
        <v>0.20293310943184997</v>
      </c>
      <c r="BK19" s="13">
        <f>BK15/BK6</f>
        <v>0.21080251394909874</v>
      </c>
      <c r="BL19" s="13">
        <f>BL15/BL6</f>
        <v>0.20977174884249858</v>
      </c>
      <c r="BM19" s="13"/>
      <c r="BN19" s="13"/>
      <c r="BO19" s="14">
        <f>BO15/BO6</f>
        <v>0.21029408746690748</v>
      </c>
    </row>
    <row r="20" spans="1:67" s="203" customFormat="1">
      <c r="A20" s="201"/>
      <c r="B20" s="202" t="s">
        <v>82</v>
      </c>
      <c r="C20" s="13"/>
      <c r="D20" s="13"/>
      <c r="E20" s="13"/>
      <c r="F20" s="13"/>
      <c r="G20" s="14"/>
      <c r="H20" s="13"/>
      <c r="I20" s="13"/>
      <c r="J20" s="13"/>
      <c r="K20" s="13"/>
      <c r="L20" s="14"/>
      <c r="M20" s="13"/>
      <c r="N20" s="13"/>
      <c r="O20" s="13"/>
      <c r="P20" s="13"/>
      <c r="Q20" s="14"/>
      <c r="R20" s="13"/>
      <c r="S20" s="13"/>
      <c r="T20" s="13"/>
      <c r="U20" s="13"/>
      <c r="V20" s="14"/>
      <c r="W20" s="13"/>
      <c r="X20" s="13"/>
      <c r="Y20" s="13"/>
      <c r="Z20" s="13"/>
      <c r="AA20" s="14"/>
      <c r="AB20" s="13"/>
      <c r="AC20" s="13"/>
      <c r="AD20" s="13"/>
      <c r="AE20" s="13"/>
      <c r="AF20" s="14"/>
      <c r="AG20" s="13"/>
      <c r="AH20" s="13"/>
      <c r="AI20" s="13"/>
      <c r="AJ20" s="13"/>
      <c r="AK20" s="14"/>
      <c r="AL20" s="13"/>
      <c r="AM20" s="13"/>
      <c r="AN20" s="13"/>
      <c r="AO20" s="13"/>
      <c r="AP20" s="14"/>
      <c r="AQ20" s="13"/>
      <c r="AR20" s="13"/>
      <c r="AS20" s="13"/>
      <c r="AT20" s="13"/>
      <c r="AU20" s="14"/>
      <c r="AV20" s="13"/>
      <c r="AW20" s="13"/>
      <c r="AX20" s="13"/>
      <c r="AY20" s="13"/>
      <c r="AZ20" s="14"/>
      <c r="BA20" s="13"/>
      <c r="BB20" s="13"/>
      <c r="BC20" s="13"/>
      <c r="BD20" s="13"/>
      <c r="BE20" s="14"/>
      <c r="BF20" s="13"/>
      <c r="BG20" s="13"/>
      <c r="BH20" s="13">
        <f>BH17/BH6</f>
        <v>0.21205391499373338</v>
      </c>
      <c r="BI20" s="13"/>
      <c r="BJ20" s="14">
        <f>BJ17/BJ6</f>
        <v>0.2101483347327176</v>
      </c>
      <c r="BK20" s="13"/>
      <c r="BL20" s="13"/>
      <c r="BM20" s="13"/>
      <c r="BN20" s="13"/>
      <c r="BO20" s="14"/>
    </row>
    <row r="21" spans="1:67">
      <c r="A21" s="16"/>
      <c r="B21" s="138"/>
      <c r="C21" s="89"/>
      <c r="D21" s="89"/>
      <c r="E21" s="89"/>
      <c r="F21" s="89"/>
      <c r="G21" s="406"/>
      <c r="H21" s="89"/>
      <c r="I21" s="89"/>
      <c r="J21" s="89"/>
      <c r="K21" s="89"/>
      <c r="L21" s="406"/>
      <c r="M21" s="89"/>
      <c r="N21" s="89"/>
      <c r="O21" s="89"/>
      <c r="P21" s="89"/>
      <c r="Q21" s="406"/>
      <c r="R21" s="89"/>
      <c r="S21" s="89"/>
      <c r="T21" s="89"/>
      <c r="U21" s="89"/>
      <c r="V21" s="406"/>
      <c r="W21" s="111"/>
      <c r="X21" s="111"/>
      <c r="Y21" s="111"/>
      <c r="Z21" s="111"/>
      <c r="AA21" s="406"/>
      <c r="AB21" s="111"/>
      <c r="AC21" s="111"/>
      <c r="AD21" s="111"/>
      <c r="AE21" s="111"/>
      <c r="AF21" s="406"/>
      <c r="AG21" s="111"/>
      <c r="AH21" s="111"/>
      <c r="AI21" s="111"/>
      <c r="AJ21" s="111"/>
      <c r="AK21" s="406"/>
      <c r="AL21" s="8"/>
      <c r="AM21" s="8"/>
      <c r="AN21" s="8"/>
      <c r="AO21" s="8"/>
      <c r="AP21" s="406"/>
      <c r="AQ21" s="8"/>
      <c r="AR21" s="8"/>
      <c r="AS21" s="8"/>
      <c r="AT21" s="8"/>
      <c r="AU21" s="406"/>
      <c r="AV21" s="8"/>
      <c r="AW21" s="8"/>
      <c r="AX21" s="8"/>
      <c r="AY21" s="8"/>
      <c r="AZ21" s="406"/>
      <c r="BA21" s="8"/>
      <c r="BB21" s="8"/>
      <c r="BC21" s="8"/>
      <c r="BD21" s="8"/>
      <c r="BE21" s="406"/>
      <c r="BF21" s="8"/>
      <c r="BG21" s="8"/>
      <c r="BH21" s="8"/>
      <c r="BI21" s="8"/>
      <c r="BJ21" s="406"/>
      <c r="BK21" s="8"/>
      <c r="BL21" s="8"/>
      <c r="BM21" s="8"/>
      <c r="BN21" s="8"/>
      <c r="BO21" s="406"/>
    </row>
    <row r="22" spans="1:67" s="136" customFormat="1">
      <c r="A22" s="139"/>
      <c r="B22" s="140" t="s">
        <v>78</v>
      </c>
      <c r="C22" s="93">
        <f>C15-C21</f>
        <v>3211</v>
      </c>
      <c r="D22" s="93">
        <f>D15-D21</f>
        <v>3483</v>
      </c>
      <c r="E22" s="93">
        <f>E15-E21</f>
        <v>3689</v>
      </c>
      <c r="F22" s="93">
        <f>F15-F21</f>
        <v>3449</v>
      </c>
      <c r="G22" s="408">
        <f>SUM(C22:F22)</f>
        <v>13832</v>
      </c>
      <c r="H22" s="93">
        <f>H15-H21</f>
        <v>3447</v>
      </c>
      <c r="I22" s="93">
        <f t="shared" ref="I22:Q22" si="17">I15-I21</f>
        <v>3993</v>
      </c>
      <c r="J22" s="93">
        <f t="shared" si="17"/>
        <v>3959</v>
      </c>
      <c r="K22" s="93">
        <f t="shared" si="17"/>
        <v>4220</v>
      </c>
      <c r="L22" s="408">
        <f t="shared" si="17"/>
        <v>15620</v>
      </c>
      <c r="M22" s="93">
        <f t="shared" si="17"/>
        <v>4047</v>
      </c>
      <c r="N22" s="93">
        <f t="shared" si="17"/>
        <v>4309</v>
      </c>
      <c r="O22" s="93">
        <f t="shared" si="17"/>
        <v>4334</v>
      </c>
      <c r="P22" s="93">
        <f>P15-P21</f>
        <v>4212</v>
      </c>
      <c r="Q22" s="408">
        <f t="shared" si="17"/>
        <v>16901</v>
      </c>
      <c r="R22" s="93">
        <f t="shared" ref="R22:Z22" si="18">R15-R21</f>
        <v>4111</v>
      </c>
      <c r="S22" s="93">
        <f t="shared" si="18"/>
        <v>4246</v>
      </c>
      <c r="T22" s="93">
        <f t="shared" si="18"/>
        <v>4319</v>
      </c>
      <c r="U22" s="93">
        <f t="shared" si="18"/>
        <v>4472</v>
      </c>
      <c r="V22" s="408">
        <f t="shared" si="18"/>
        <v>17148</v>
      </c>
      <c r="W22" s="93">
        <f t="shared" si="18"/>
        <v>4537</v>
      </c>
      <c r="X22" s="93">
        <f t="shared" si="18"/>
        <v>4894</v>
      </c>
      <c r="Y22" s="93">
        <f t="shared" si="18"/>
        <v>4830</v>
      </c>
      <c r="Z22" s="93">
        <f t="shared" si="18"/>
        <v>4618</v>
      </c>
      <c r="AA22" s="408">
        <f t="shared" ref="AA22:AM22" si="19">AA15-AA21</f>
        <v>18880</v>
      </c>
      <c r="AB22" s="93">
        <f t="shared" si="19"/>
        <v>4471</v>
      </c>
      <c r="AC22" s="93">
        <f t="shared" si="19"/>
        <v>4912</v>
      </c>
      <c r="AD22" s="93">
        <f t="shared" si="19"/>
        <v>5064</v>
      </c>
      <c r="AE22" s="93">
        <f t="shared" si="19"/>
        <v>4927</v>
      </c>
      <c r="AF22" s="408">
        <f t="shared" si="19"/>
        <v>19374</v>
      </c>
      <c r="AG22" s="93">
        <f t="shared" si="19"/>
        <v>5365</v>
      </c>
      <c r="AH22" s="93">
        <f t="shared" si="19"/>
        <v>6228</v>
      </c>
      <c r="AI22" s="93">
        <f t="shared" si="19"/>
        <v>6589</v>
      </c>
      <c r="AJ22" s="93">
        <f t="shared" si="19"/>
        <v>6440</v>
      </c>
      <c r="AK22" s="408">
        <f>AK15-AK21</f>
        <v>24622</v>
      </c>
      <c r="AL22" s="23">
        <f t="shared" si="19"/>
        <v>6603</v>
      </c>
      <c r="AM22" s="23">
        <f t="shared" si="19"/>
        <v>6972</v>
      </c>
      <c r="AN22" s="23">
        <f t="shared" ref="AN22:AS22" si="20">AN15-AN21</f>
        <v>7484</v>
      </c>
      <c r="AO22" s="23">
        <f t="shared" si="20"/>
        <v>6956</v>
      </c>
      <c r="AP22" s="408">
        <f>AP15-AP21</f>
        <v>28015</v>
      </c>
      <c r="AQ22" s="23">
        <f t="shared" si="20"/>
        <v>6914</v>
      </c>
      <c r="AR22" s="23">
        <f t="shared" si="20"/>
        <v>7873</v>
      </c>
      <c r="AS22" s="23">
        <f t="shared" si="20"/>
        <v>8242</v>
      </c>
      <c r="AT22" s="23">
        <f t="shared" ref="AT22:BB22" si="21">AT15-AT21</f>
        <v>7877</v>
      </c>
      <c r="AU22" s="408">
        <f t="shared" si="21"/>
        <v>30905</v>
      </c>
      <c r="AV22" s="23">
        <f t="shared" si="21"/>
        <v>7891</v>
      </c>
      <c r="AW22" s="23">
        <f t="shared" si="21"/>
        <v>8274</v>
      </c>
      <c r="AX22" s="23">
        <f t="shared" si="21"/>
        <v>7961</v>
      </c>
      <c r="AY22" s="23">
        <f t="shared" si="21"/>
        <v>7621</v>
      </c>
      <c r="AZ22" s="408">
        <f t="shared" si="21"/>
        <v>31747</v>
      </c>
      <c r="BA22" s="23">
        <f t="shared" si="21"/>
        <v>8288</v>
      </c>
      <c r="BB22" s="23">
        <f t="shared" si="21"/>
        <v>8649</v>
      </c>
      <c r="BC22" s="23">
        <f t="shared" ref="BC22:BL22" si="22">BC15-BC21</f>
        <v>8912</v>
      </c>
      <c r="BD22" s="23">
        <f t="shared" si="22"/>
        <v>8575</v>
      </c>
      <c r="BE22" s="408">
        <f t="shared" si="22"/>
        <v>34424</v>
      </c>
      <c r="BF22" s="23">
        <f t="shared" si="22"/>
        <v>8803</v>
      </c>
      <c r="BG22" s="23">
        <f t="shared" si="22"/>
        <v>9353</v>
      </c>
      <c r="BH22" s="23">
        <f t="shared" si="22"/>
        <v>8355</v>
      </c>
      <c r="BI22" s="23">
        <f t="shared" si="22"/>
        <v>9743</v>
      </c>
      <c r="BJ22" s="408">
        <f>BJ15-BJ21</f>
        <v>36254</v>
      </c>
      <c r="BK22" s="23">
        <f t="shared" si="22"/>
        <v>10163</v>
      </c>
      <c r="BL22" s="23">
        <f t="shared" si="22"/>
        <v>10330</v>
      </c>
      <c r="BM22" s="23"/>
      <c r="BN22" s="23"/>
      <c r="BO22" s="408">
        <f>BO15-BO21</f>
        <v>20494</v>
      </c>
    </row>
    <row r="23" spans="1:67">
      <c r="A23" s="16"/>
      <c r="B23" s="138"/>
      <c r="C23" s="16"/>
      <c r="D23" s="16"/>
      <c r="E23" s="16"/>
      <c r="F23" s="16"/>
      <c r="G23" s="406"/>
      <c r="H23" s="16"/>
      <c r="I23" s="16"/>
      <c r="J23" s="16"/>
      <c r="K23" s="16"/>
      <c r="L23" s="406"/>
      <c r="M23" s="16"/>
      <c r="N23" s="16"/>
      <c r="O23" s="16"/>
      <c r="P23" s="16"/>
      <c r="Q23" s="406"/>
      <c r="R23" s="16"/>
      <c r="S23" s="16"/>
      <c r="T23" s="16"/>
      <c r="U23" s="16"/>
      <c r="V23" s="406"/>
      <c r="W23" s="16"/>
      <c r="X23" s="16"/>
      <c r="Y23" s="16"/>
      <c r="Z23" s="16"/>
      <c r="AA23" s="406"/>
      <c r="AB23" s="16"/>
      <c r="AC23" s="16"/>
      <c r="AD23" s="16"/>
      <c r="AE23" s="16"/>
      <c r="AF23" s="406"/>
      <c r="AG23" s="16"/>
      <c r="AH23" s="16"/>
      <c r="AI23" s="16"/>
      <c r="AJ23" s="16"/>
      <c r="AK23" s="406"/>
      <c r="AL23" s="16"/>
      <c r="AM23" s="16"/>
      <c r="AN23" s="16"/>
      <c r="AO23" s="16"/>
      <c r="AP23" s="406"/>
      <c r="AQ23" s="16"/>
      <c r="AR23" s="16"/>
      <c r="AS23" s="16"/>
      <c r="AT23" s="16"/>
      <c r="AU23" s="406"/>
      <c r="AV23" s="16"/>
      <c r="AW23" s="16"/>
      <c r="AX23" s="16"/>
      <c r="AY23" s="16"/>
      <c r="AZ23" s="406"/>
      <c r="BA23" s="16"/>
      <c r="BB23" s="16"/>
      <c r="BC23" s="16"/>
      <c r="BD23" s="16"/>
      <c r="BE23" s="406"/>
      <c r="BF23" s="16"/>
      <c r="BG23" s="16"/>
      <c r="BH23" s="16"/>
      <c r="BI23" s="16"/>
      <c r="BJ23" s="406"/>
      <c r="BK23" s="16"/>
      <c r="BL23" s="16"/>
      <c r="BM23" s="16"/>
      <c r="BN23" s="16"/>
      <c r="BO23" s="406"/>
    </row>
    <row r="24" spans="1:67">
      <c r="A24" s="16"/>
      <c r="B24" s="138" t="s">
        <v>83</v>
      </c>
      <c r="C24" s="89">
        <v>829</v>
      </c>
      <c r="D24" s="89">
        <v>877</v>
      </c>
      <c r="E24" s="89">
        <v>840</v>
      </c>
      <c r="F24" s="89">
        <v>881</v>
      </c>
      <c r="G24" s="406">
        <f>SUM(C24:F24)</f>
        <v>3427</v>
      </c>
      <c r="H24" s="89">
        <v>758</v>
      </c>
      <c r="I24" s="89">
        <v>793</v>
      </c>
      <c r="J24" s="89">
        <v>802</v>
      </c>
      <c r="K24" s="89">
        <v>772</v>
      </c>
      <c r="L24" s="406">
        <f>SUM(H24:K24)</f>
        <v>3125</v>
      </c>
      <c r="M24" s="89">
        <v>753</v>
      </c>
      <c r="N24" s="89">
        <v>760</v>
      </c>
      <c r="O24" s="89">
        <v>820</v>
      </c>
      <c r="P24" s="89">
        <v>746</v>
      </c>
      <c r="Q24" s="406">
        <f>SUM(M24:P24)+1</f>
        <v>3080</v>
      </c>
      <c r="R24" s="89">
        <v>814</v>
      </c>
      <c r="S24" s="89">
        <v>883</v>
      </c>
      <c r="T24" s="19">
        <v>962</v>
      </c>
      <c r="U24" s="89">
        <v>534</v>
      </c>
      <c r="V24" s="406">
        <f>SUM(R24:U24)</f>
        <v>3193</v>
      </c>
      <c r="W24" s="89">
        <v>726</v>
      </c>
      <c r="X24" s="89">
        <v>739</v>
      </c>
      <c r="Y24" s="19">
        <v>753</v>
      </c>
      <c r="Z24" s="89">
        <v>665</v>
      </c>
      <c r="AA24" s="406">
        <f>SUM(W24:Z24)-1</f>
        <v>2882</v>
      </c>
      <c r="AB24" s="89">
        <v>736</v>
      </c>
      <c r="AC24" s="89">
        <v>626</v>
      </c>
      <c r="AD24" s="89">
        <v>827</v>
      </c>
      <c r="AE24" s="89">
        <v>614</v>
      </c>
      <c r="AF24" s="406">
        <f>SUM(AB24:AE24)</f>
        <v>2803</v>
      </c>
      <c r="AG24" s="89">
        <v>475</v>
      </c>
      <c r="AH24" s="89">
        <v>570</v>
      </c>
      <c r="AI24" s="89">
        <v>611</v>
      </c>
      <c r="AJ24" s="89">
        <v>545</v>
      </c>
      <c r="AK24" s="406">
        <f>SUM(AG24:AJ24)</f>
        <v>2201</v>
      </c>
      <c r="AL24" s="19">
        <v>622</v>
      </c>
      <c r="AM24" s="19">
        <v>524</v>
      </c>
      <c r="AN24" s="19">
        <v>512</v>
      </c>
      <c r="AO24" s="19">
        <v>637</v>
      </c>
      <c r="AP24" s="406">
        <f>SUM(AL24:AO24)</f>
        <v>2295</v>
      </c>
      <c r="AQ24" s="19">
        <v>676</v>
      </c>
      <c r="AR24" s="19">
        <v>584</v>
      </c>
      <c r="AS24" s="19">
        <v>769</v>
      </c>
      <c r="AT24" s="19">
        <v>671</v>
      </c>
      <c r="AU24" s="406">
        <f>SUM(AQ24:AT24)+1</f>
        <v>2701</v>
      </c>
      <c r="AV24" s="19">
        <v>561</v>
      </c>
      <c r="AW24" s="19">
        <v>632</v>
      </c>
      <c r="AX24" s="19">
        <v>789</v>
      </c>
      <c r="AY24" s="19">
        <v>2729</v>
      </c>
      <c r="AZ24" s="406">
        <f>SUM(AV24:AY24)</f>
        <v>4711</v>
      </c>
      <c r="BA24" s="19">
        <v>838</v>
      </c>
      <c r="BB24" s="19">
        <v>712</v>
      </c>
      <c r="BC24" s="19">
        <v>859</v>
      </c>
      <c r="BD24" s="19">
        <v>1190</v>
      </c>
      <c r="BE24" s="406">
        <f>SUM(BA24:BD24)+1</f>
        <v>3600</v>
      </c>
      <c r="BF24" s="19">
        <v>1042</v>
      </c>
      <c r="BG24" s="19">
        <v>982</v>
      </c>
      <c r="BH24" s="19">
        <v>974</v>
      </c>
      <c r="BI24" s="19">
        <v>1159</v>
      </c>
      <c r="BJ24" s="406">
        <f t="shared" ref="BJ24:BJ31" si="23">SUM(BF24:BI24)</f>
        <v>4157</v>
      </c>
      <c r="BK24" s="19">
        <v>984</v>
      </c>
      <c r="BL24" s="19">
        <v>848</v>
      </c>
      <c r="BM24" s="19"/>
      <c r="BN24" s="19"/>
      <c r="BO24" s="406">
        <f t="shared" ref="BO24:BO31" si="24">SUM(BK24:BN24)</f>
        <v>1832</v>
      </c>
    </row>
    <row r="25" spans="1:67">
      <c r="A25" s="16"/>
      <c r="B25" s="138" t="s">
        <v>84</v>
      </c>
      <c r="C25" s="89"/>
      <c r="D25" s="89"/>
      <c r="E25" s="89"/>
      <c r="F25" s="89"/>
      <c r="G25" s="406"/>
      <c r="H25" s="89"/>
      <c r="I25" s="89"/>
      <c r="J25" s="89"/>
      <c r="K25" s="89"/>
      <c r="L25" s="406"/>
      <c r="M25" s="89"/>
      <c r="N25" s="89"/>
      <c r="O25" s="89"/>
      <c r="P25" s="89"/>
      <c r="Q25" s="406"/>
      <c r="R25" s="89"/>
      <c r="S25" s="89"/>
      <c r="T25" s="19"/>
      <c r="U25" s="89"/>
      <c r="V25" s="406"/>
      <c r="W25" s="89"/>
      <c r="X25" s="89"/>
      <c r="Y25" s="19"/>
      <c r="Z25" s="89"/>
      <c r="AA25" s="406"/>
      <c r="AB25" s="89">
        <v>-40</v>
      </c>
      <c r="AC25" s="89">
        <v>-42</v>
      </c>
      <c r="AD25" s="89">
        <v>-42</v>
      </c>
      <c r="AE25" s="89">
        <v>-45</v>
      </c>
      <c r="AF25" s="406">
        <f>SUM(AB25:AE25)-1</f>
        <v>-170</v>
      </c>
      <c r="AG25" s="89">
        <v>-48</v>
      </c>
      <c r="AH25" s="89">
        <v>-48</v>
      </c>
      <c r="AI25" s="89">
        <v>-49</v>
      </c>
      <c r="AJ25" s="89">
        <v>-50</v>
      </c>
      <c r="AK25" s="406">
        <f>SUM(AG25:AJ25)</f>
        <v>-195</v>
      </c>
      <c r="AL25" s="19">
        <v>-49</v>
      </c>
      <c r="AM25" s="19">
        <v>-48</v>
      </c>
      <c r="AN25" s="19">
        <v>-53</v>
      </c>
      <c r="AO25" s="19">
        <v>-50</v>
      </c>
      <c r="AP25" s="406">
        <f>SUM(AL25:AO25)</f>
        <v>-200</v>
      </c>
      <c r="AQ25" s="19">
        <v>-56</v>
      </c>
      <c r="AR25" s="19">
        <v>-66</v>
      </c>
      <c r="AS25" s="19">
        <v>-80</v>
      </c>
      <c r="AT25" s="19">
        <v>-82</v>
      </c>
      <c r="AU25" s="406">
        <f>SUM(AQ25:AT25)</f>
        <v>-284</v>
      </c>
      <c r="AV25" s="19">
        <v>-90</v>
      </c>
      <c r="AW25" s="19">
        <v>-138</v>
      </c>
      <c r="AX25" s="19">
        <v>-131</v>
      </c>
      <c r="AY25" s="19">
        <v>-110</v>
      </c>
      <c r="AZ25" s="406">
        <f>SUM(AV25:AY25)-1</f>
        <v>-470</v>
      </c>
      <c r="BA25" s="19">
        <v>-105</v>
      </c>
      <c r="BB25" s="19">
        <v>-108</v>
      </c>
      <c r="BC25" s="19">
        <v>-101</v>
      </c>
      <c r="BD25" s="19">
        <v>-102</v>
      </c>
      <c r="BE25" s="406">
        <f>SUM(BA25:BD25)</f>
        <v>-416</v>
      </c>
      <c r="BF25" s="19">
        <v>-105</v>
      </c>
      <c r="BG25" s="19">
        <v>-106</v>
      </c>
      <c r="BH25" s="19">
        <v>-100</v>
      </c>
      <c r="BI25" s="19">
        <v>-105</v>
      </c>
      <c r="BJ25" s="406">
        <f t="shared" si="23"/>
        <v>-416</v>
      </c>
      <c r="BK25" s="19">
        <v>-119</v>
      </c>
      <c r="BL25" s="19">
        <v>-115</v>
      </c>
      <c r="BM25" s="19"/>
      <c r="BN25" s="19"/>
      <c r="BO25" s="406">
        <f>SUM(BK25:BN25)-1</f>
        <v>-235</v>
      </c>
    </row>
    <row r="26" spans="1:67">
      <c r="A26" s="16"/>
      <c r="B26" s="138" t="s">
        <v>85</v>
      </c>
      <c r="C26" s="89"/>
      <c r="D26" s="89"/>
      <c r="E26" s="89"/>
      <c r="F26" s="89"/>
      <c r="G26" s="406">
        <v>0</v>
      </c>
      <c r="H26" s="89"/>
      <c r="I26" s="89"/>
      <c r="J26" s="89"/>
      <c r="K26" s="89"/>
      <c r="L26" s="406">
        <v>0</v>
      </c>
      <c r="M26" s="89"/>
      <c r="N26" s="89"/>
      <c r="O26" s="89"/>
      <c r="P26" s="89"/>
      <c r="Q26" s="406">
        <v>0</v>
      </c>
      <c r="R26" s="89">
        <v>0</v>
      </c>
      <c r="S26" s="89">
        <v>0</v>
      </c>
      <c r="T26" s="19">
        <v>0</v>
      </c>
      <c r="U26" s="89">
        <v>0</v>
      </c>
      <c r="V26" s="406">
        <v>0</v>
      </c>
      <c r="W26" s="89">
        <v>-270</v>
      </c>
      <c r="X26" s="89">
        <v>0</v>
      </c>
      <c r="Y26" s="19">
        <v>0</v>
      </c>
      <c r="Z26" s="89">
        <v>0</v>
      </c>
      <c r="AA26" s="406">
        <f>SUM(W26:Z26)</f>
        <v>-270</v>
      </c>
      <c r="AB26" s="89">
        <v>0</v>
      </c>
      <c r="AC26" s="89">
        <v>0</v>
      </c>
      <c r="AD26" s="89">
        <v>0</v>
      </c>
      <c r="AE26" s="89">
        <v>0</v>
      </c>
      <c r="AF26" s="406">
        <f>SUM(AB26:AE26)</f>
        <v>0</v>
      </c>
      <c r="AG26" s="89">
        <v>0</v>
      </c>
      <c r="AH26" s="89">
        <v>0</v>
      </c>
      <c r="AI26" s="89">
        <v>0</v>
      </c>
      <c r="AJ26" s="89">
        <v>0</v>
      </c>
      <c r="AK26" s="406">
        <f>SUM(AG26:AJ26)</f>
        <v>0</v>
      </c>
      <c r="AL26" s="19">
        <v>0</v>
      </c>
      <c r="AM26" s="19">
        <v>0</v>
      </c>
      <c r="AN26" s="19">
        <v>0</v>
      </c>
      <c r="AO26" s="19">
        <v>0</v>
      </c>
      <c r="AP26" s="406">
        <f>SUM(AL26:AO26)</f>
        <v>0</v>
      </c>
      <c r="AQ26" s="19">
        <v>0</v>
      </c>
      <c r="AR26" s="19">
        <v>0</v>
      </c>
      <c r="AS26" s="19">
        <v>0</v>
      </c>
      <c r="AT26" s="19">
        <v>0</v>
      </c>
      <c r="AU26" s="406">
        <f>SUM(AQ26:AT26)</f>
        <v>0</v>
      </c>
      <c r="AV26" s="19">
        <v>0</v>
      </c>
      <c r="AW26" s="19">
        <v>0</v>
      </c>
      <c r="AX26" s="19">
        <v>0</v>
      </c>
      <c r="AY26" s="19">
        <v>0</v>
      </c>
      <c r="AZ26" s="406">
        <f>SUM(AV26:AY26)</f>
        <v>0</v>
      </c>
      <c r="BA26" s="19">
        <v>0</v>
      </c>
      <c r="BB26" s="19">
        <v>0</v>
      </c>
      <c r="BC26" s="19">
        <v>0</v>
      </c>
      <c r="BD26" s="19">
        <v>0</v>
      </c>
      <c r="BE26" s="406">
        <f>SUM(BA26:BD26)</f>
        <v>0</v>
      </c>
      <c r="BF26" s="19">
        <v>0</v>
      </c>
      <c r="BG26" s="19">
        <v>0</v>
      </c>
      <c r="BH26" s="19">
        <v>0</v>
      </c>
      <c r="BI26" s="19">
        <v>0</v>
      </c>
      <c r="BJ26" s="406">
        <f t="shared" si="23"/>
        <v>0</v>
      </c>
      <c r="BK26" s="19">
        <v>0</v>
      </c>
      <c r="BL26" s="19">
        <v>0</v>
      </c>
      <c r="BM26" s="19"/>
      <c r="BN26" s="19"/>
      <c r="BO26" s="406">
        <f t="shared" si="24"/>
        <v>0</v>
      </c>
    </row>
    <row r="27" spans="1:67" ht="24">
      <c r="A27" s="16"/>
      <c r="B27" s="396" t="s">
        <v>86</v>
      </c>
      <c r="C27" s="89"/>
      <c r="D27" s="89"/>
      <c r="E27" s="89"/>
      <c r="F27" s="89"/>
      <c r="G27" s="406"/>
      <c r="H27" s="89"/>
      <c r="I27" s="89"/>
      <c r="J27" s="89"/>
      <c r="K27" s="89"/>
      <c r="L27" s="406"/>
      <c r="M27" s="89"/>
      <c r="N27" s="89"/>
      <c r="O27" s="89"/>
      <c r="P27" s="89"/>
      <c r="Q27" s="406"/>
      <c r="R27" s="89"/>
      <c r="S27" s="89"/>
      <c r="T27" s="19"/>
      <c r="U27" s="89"/>
      <c r="V27" s="406"/>
      <c r="W27" s="89"/>
      <c r="X27" s="89"/>
      <c r="Y27" s="19">
        <v>-451</v>
      </c>
      <c r="Z27" s="89">
        <v>0</v>
      </c>
      <c r="AA27" s="406">
        <f>SUM(W27:Z27)</f>
        <v>-451</v>
      </c>
      <c r="AB27" s="89">
        <v>0</v>
      </c>
      <c r="AC27" s="89">
        <v>0</v>
      </c>
      <c r="AD27" s="89">
        <v>0</v>
      </c>
      <c r="AE27" s="89">
        <v>0</v>
      </c>
      <c r="AF27" s="406">
        <f>SUM(AB27:AE27)</f>
        <v>0</v>
      </c>
      <c r="AG27" s="89">
        <v>0</v>
      </c>
      <c r="AH27" s="89">
        <v>0</v>
      </c>
      <c r="AI27" s="89">
        <v>0</v>
      </c>
      <c r="AJ27" s="89">
        <v>0</v>
      </c>
      <c r="AK27" s="406">
        <f>SUM(AG27:AJ27)</f>
        <v>0</v>
      </c>
      <c r="AL27" s="19">
        <v>0</v>
      </c>
      <c r="AM27" s="19">
        <v>0</v>
      </c>
      <c r="AN27" s="19">
        <v>0</v>
      </c>
      <c r="AO27" s="19">
        <v>0</v>
      </c>
      <c r="AP27" s="406">
        <f>SUM(AL27:AO27)</f>
        <v>0</v>
      </c>
      <c r="AQ27" s="19">
        <v>0</v>
      </c>
      <c r="AR27" s="19">
        <v>0</v>
      </c>
      <c r="AS27" s="19">
        <v>0</v>
      </c>
      <c r="AT27" s="19">
        <v>0</v>
      </c>
      <c r="AU27" s="406">
        <f>SUM(AQ27:AT27)</f>
        <v>0</v>
      </c>
      <c r="AV27" s="19">
        <v>0</v>
      </c>
      <c r="AW27" s="19">
        <v>0</v>
      </c>
      <c r="AX27" s="19">
        <v>0</v>
      </c>
      <c r="AY27" s="19">
        <v>0</v>
      </c>
      <c r="AZ27" s="406">
        <f>SUM(AV27:AY27)</f>
        <v>0</v>
      </c>
      <c r="BA27" s="19">
        <v>0</v>
      </c>
      <c r="BB27" s="19">
        <v>0</v>
      </c>
      <c r="BC27" s="19">
        <v>0</v>
      </c>
      <c r="BD27" s="19">
        <v>0</v>
      </c>
      <c r="BE27" s="406">
        <f>SUM(BA27:BD27)</f>
        <v>0</v>
      </c>
      <c r="BF27" s="19">
        <v>0</v>
      </c>
      <c r="BG27" s="19">
        <v>0</v>
      </c>
      <c r="BH27" s="19">
        <v>0</v>
      </c>
      <c r="BI27" s="19">
        <v>0</v>
      </c>
      <c r="BJ27" s="406">
        <f t="shared" si="23"/>
        <v>0</v>
      </c>
      <c r="BK27" s="19">
        <v>0</v>
      </c>
      <c r="BL27" s="19">
        <v>0</v>
      </c>
      <c r="BM27" s="19"/>
      <c r="BN27" s="19"/>
      <c r="BO27" s="406">
        <f t="shared" si="24"/>
        <v>0</v>
      </c>
    </row>
    <row r="28" spans="1:67">
      <c r="A28" s="16"/>
      <c r="B28" s="138" t="s">
        <v>87</v>
      </c>
      <c r="C28" s="89"/>
      <c r="D28" s="89"/>
      <c r="E28" s="89"/>
      <c r="F28" s="89">
        <v>-1</v>
      </c>
      <c r="G28" s="406">
        <f>SUM(C28:F28)</f>
        <v>-1</v>
      </c>
      <c r="H28" s="89">
        <v>0</v>
      </c>
      <c r="I28" s="89">
        <v>-1</v>
      </c>
      <c r="J28" s="89">
        <v>0</v>
      </c>
      <c r="K28" s="89">
        <v>-1</v>
      </c>
      <c r="L28" s="406">
        <f>SUM(H28:K28)-1</f>
        <v>-3</v>
      </c>
      <c r="M28" s="89">
        <v>-2</v>
      </c>
      <c r="N28" s="89">
        <v>-3</v>
      </c>
      <c r="O28" s="89">
        <v>0</v>
      </c>
      <c r="P28" s="89">
        <v>-25</v>
      </c>
      <c r="Q28" s="406">
        <f>SUM(M28:P28)</f>
        <v>-30</v>
      </c>
      <c r="R28" s="89">
        <v>-71</v>
      </c>
      <c r="S28" s="89">
        <v>0</v>
      </c>
      <c r="T28" s="19">
        <v>0</v>
      </c>
      <c r="U28" s="19">
        <v>0</v>
      </c>
      <c r="V28" s="406">
        <f>SUM(R28:U28)</f>
        <v>-71</v>
      </c>
      <c r="W28" s="19">
        <v>0</v>
      </c>
      <c r="X28" s="89">
        <v>0</v>
      </c>
      <c r="Y28" s="19">
        <v>0</v>
      </c>
      <c r="Z28" s="19">
        <v>0</v>
      </c>
      <c r="AA28" s="406">
        <f>SUM(W28:Z28)</f>
        <v>0</v>
      </c>
      <c r="AB28" s="19">
        <v>0</v>
      </c>
      <c r="AC28" s="19">
        <v>0</v>
      </c>
      <c r="AD28" s="19">
        <v>0</v>
      </c>
      <c r="AE28" s="19">
        <v>0</v>
      </c>
      <c r="AF28" s="406">
        <f>SUM(AB28:AE28)</f>
        <v>0</v>
      </c>
      <c r="AG28" s="19">
        <v>0</v>
      </c>
      <c r="AH28" s="19">
        <v>0</v>
      </c>
      <c r="AI28" s="19">
        <v>0</v>
      </c>
      <c r="AJ28" s="19">
        <v>0</v>
      </c>
      <c r="AK28" s="406">
        <f>SUM(AG28:AJ28)</f>
        <v>0</v>
      </c>
      <c r="AL28" s="19">
        <v>0</v>
      </c>
      <c r="AM28" s="19">
        <v>0</v>
      </c>
      <c r="AN28" s="19">
        <v>0</v>
      </c>
      <c r="AO28" s="19">
        <v>0</v>
      </c>
      <c r="AP28" s="406">
        <f>SUM(AL28:AO28)</f>
        <v>0</v>
      </c>
      <c r="AQ28" s="19">
        <v>0</v>
      </c>
      <c r="AR28" s="19">
        <v>0</v>
      </c>
      <c r="AS28" s="19">
        <v>0</v>
      </c>
      <c r="AT28" s="19">
        <v>0</v>
      </c>
      <c r="AU28" s="406">
        <f>SUM(AQ28:AT28)</f>
        <v>0</v>
      </c>
      <c r="AV28" s="19">
        <v>0</v>
      </c>
      <c r="AW28" s="19">
        <v>0</v>
      </c>
      <c r="AX28" s="19">
        <v>0</v>
      </c>
      <c r="AY28" s="19">
        <v>0</v>
      </c>
      <c r="AZ28" s="406">
        <f>SUM(AV28:AY28)</f>
        <v>0</v>
      </c>
      <c r="BA28" s="19">
        <v>0</v>
      </c>
      <c r="BB28" s="19">
        <v>0</v>
      </c>
      <c r="BC28" s="19">
        <v>0</v>
      </c>
      <c r="BD28" s="19">
        <v>0</v>
      </c>
      <c r="BE28" s="406">
        <f>SUM(BA28:BD28)</f>
        <v>0</v>
      </c>
      <c r="BF28" s="19">
        <v>0</v>
      </c>
      <c r="BG28" s="19">
        <v>0</v>
      </c>
      <c r="BH28" s="19">
        <v>0</v>
      </c>
      <c r="BI28" s="19">
        <v>0</v>
      </c>
      <c r="BJ28" s="406">
        <f t="shared" si="23"/>
        <v>0</v>
      </c>
      <c r="BK28" s="19">
        <v>0</v>
      </c>
      <c r="BL28" s="19">
        <v>0</v>
      </c>
      <c r="BM28" s="19"/>
      <c r="BN28" s="19"/>
      <c r="BO28" s="406">
        <f t="shared" si="24"/>
        <v>0</v>
      </c>
    </row>
    <row r="29" spans="1:67">
      <c r="A29" s="16"/>
      <c r="B29" s="138"/>
      <c r="C29" s="89"/>
      <c r="D29" s="89"/>
      <c r="E29" s="89"/>
      <c r="F29" s="89"/>
      <c r="G29" s="406"/>
      <c r="H29" s="89"/>
      <c r="I29" s="89"/>
      <c r="J29" s="89"/>
      <c r="K29" s="89"/>
      <c r="L29" s="406"/>
      <c r="M29" s="89"/>
      <c r="N29" s="89"/>
      <c r="O29" s="89"/>
      <c r="P29" s="89"/>
      <c r="Q29" s="406"/>
      <c r="R29" s="89"/>
      <c r="S29" s="89"/>
      <c r="T29" s="89"/>
      <c r="U29" s="89"/>
      <c r="V29" s="406"/>
      <c r="W29" s="89"/>
      <c r="X29" s="89"/>
      <c r="Y29" s="89"/>
      <c r="Z29" s="89"/>
      <c r="AA29" s="406"/>
      <c r="AB29" s="89"/>
      <c r="AC29" s="89"/>
      <c r="AD29" s="89"/>
      <c r="AE29" s="89"/>
      <c r="AF29" s="406"/>
      <c r="AG29" s="89"/>
      <c r="AH29" s="89"/>
      <c r="AI29" s="89"/>
      <c r="AJ29" s="89"/>
      <c r="AK29" s="406"/>
      <c r="AL29" s="19"/>
      <c r="AM29" s="19"/>
      <c r="AN29" s="19"/>
      <c r="AO29" s="19"/>
      <c r="AP29" s="406"/>
      <c r="AQ29" s="19"/>
      <c r="AR29" s="19"/>
      <c r="AS29" s="19"/>
      <c r="AT29" s="19"/>
      <c r="AU29" s="406"/>
      <c r="AV29" s="19"/>
      <c r="AW29" s="19"/>
      <c r="AX29" s="19"/>
      <c r="AY29" s="19"/>
      <c r="AZ29" s="406"/>
      <c r="BA29" s="19"/>
      <c r="BB29" s="19"/>
      <c r="BC29" s="19"/>
      <c r="BD29" s="19"/>
      <c r="BE29" s="406"/>
      <c r="BF29" s="19"/>
      <c r="BG29" s="19"/>
      <c r="BH29" s="19"/>
      <c r="BI29" s="19"/>
      <c r="BJ29" s="406"/>
      <c r="BK29" s="19"/>
      <c r="BL29" s="19"/>
      <c r="BM29" s="19"/>
      <c r="BN29" s="19"/>
      <c r="BO29" s="406"/>
    </row>
    <row r="30" spans="1:67" s="85" customFormat="1">
      <c r="A30" s="39"/>
      <c r="B30" s="140" t="s">
        <v>88</v>
      </c>
      <c r="C30" s="93">
        <f>C24+C28+C22</f>
        <v>4040</v>
      </c>
      <c r="D30" s="93">
        <f>D24+D28+D22</f>
        <v>4360</v>
      </c>
      <c r="E30" s="93">
        <f>E24+E28+E22</f>
        <v>4529</v>
      </c>
      <c r="F30" s="93">
        <f>F24+F28+F22</f>
        <v>4329</v>
      </c>
      <c r="G30" s="408">
        <f>SUM(C30:F30)</f>
        <v>17258</v>
      </c>
      <c r="H30" s="93">
        <f>H24+H28+H22</f>
        <v>4205</v>
      </c>
      <c r="I30" s="93">
        <f>I24+I28+I22</f>
        <v>4785</v>
      </c>
      <c r="J30" s="93">
        <f>J24+J28+J22</f>
        <v>4761</v>
      </c>
      <c r="K30" s="93">
        <f>K24+K28+K22</f>
        <v>4991</v>
      </c>
      <c r="L30" s="408">
        <f>SUM(H30:K30)</f>
        <v>18742</v>
      </c>
      <c r="M30" s="93">
        <f>M24+M28+M22</f>
        <v>4798</v>
      </c>
      <c r="N30" s="93">
        <f>N24+N28+N22</f>
        <v>5066</v>
      </c>
      <c r="O30" s="93">
        <f>O24+O28+O22</f>
        <v>5154</v>
      </c>
      <c r="P30" s="93">
        <f>P24+P28+P22</f>
        <v>4933</v>
      </c>
      <c r="Q30" s="408">
        <f>SUM(M30:P30)</f>
        <v>19951</v>
      </c>
      <c r="R30" s="93">
        <f>R22+R24+R26+R28</f>
        <v>4854</v>
      </c>
      <c r="S30" s="93">
        <f>S22+S24+S26+S28</f>
        <v>5129</v>
      </c>
      <c r="T30" s="93">
        <f>T22+T24+T26+T28</f>
        <v>5281</v>
      </c>
      <c r="U30" s="93">
        <f>U22+U24+U26+U28</f>
        <v>5006</v>
      </c>
      <c r="V30" s="408">
        <f>SUM(R30:U30)</f>
        <v>20270</v>
      </c>
      <c r="W30" s="93">
        <f>W22+W24+W26+W28</f>
        <v>4993</v>
      </c>
      <c r="X30" s="93">
        <f>X22+X24+X26+X28</f>
        <v>5633</v>
      </c>
      <c r="Y30" s="93">
        <f>Y22+Y24+Y26+Y28+Y27</f>
        <v>5132</v>
      </c>
      <c r="Z30" s="93">
        <f>Z22+Z24+Z26+Z28+Z27</f>
        <v>5283</v>
      </c>
      <c r="AA30" s="408">
        <f>SUM(W30:Z30)</f>
        <v>21041</v>
      </c>
      <c r="AB30" s="93">
        <f t="shared" ref="AB30:AO30" si="25">AB22+AB24+AB25+AB26+AB28</f>
        <v>5167</v>
      </c>
      <c r="AC30" s="93">
        <f t="shared" si="25"/>
        <v>5496</v>
      </c>
      <c r="AD30" s="93">
        <f t="shared" si="25"/>
        <v>5849</v>
      </c>
      <c r="AE30" s="93">
        <f t="shared" si="25"/>
        <v>5496</v>
      </c>
      <c r="AF30" s="408">
        <f t="shared" si="25"/>
        <v>22007</v>
      </c>
      <c r="AG30" s="93">
        <f t="shared" si="25"/>
        <v>5792</v>
      </c>
      <c r="AH30" s="93">
        <f t="shared" si="25"/>
        <v>6750</v>
      </c>
      <c r="AI30" s="93">
        <f t="shared" si="25"/>
        <v>7151</v>
      </c>
      <c r="AJ30" s="93">
        <f t="shared" si="25"/>
        <v>6935</v>
      </c>
      <c r="AK30" s="408">
        <f>AK22+AK24+AK25+AK26+AK28</f>
        <v>26628</v>
      </c>
      <c r="AL30" s="23">
        <f t="shared" si="25"/>
        <v>7176</v>
      </c>
      <c r="AM30" s="23">
        <f t="shared" si="25"/>
        <v>7448</v>
      </c>
      <c r="AN30" s="23">
        <f t="shared" si="25"/>
        <v>7943</v>
      </c>
      <c r="AO30" s="23">
        <f t="shared" si="25"/>
        <v>7543</v>
      </c>
      <c r="AP30" s="408">
        <f t="shared" ref="AP30:AU30" si="26">AP22+AP24+AP25+AP26+AP28</f>
        <v>30110</v>
      </c>
      <c r="AQ30" s="23">
        <f t="shared" si="26"/>
        <v>7534</v>
      </c>
      <c r="AR30" s="23">
        <f t="shared" si="26"/>
        <v>8391</v>
      </c>
      <c r="AS30" s="23">
        <f t="shared" si="26"/>
        <v>8931</v>
      </c>
      <c r="AT30" s="23">
        <f t="shared" si="26"/>
        <v>8466</v>
      </c>
      <c r="AU30" s="408">
        <f t="shared" si="26"/>
        <v>33322</v>
      </c>
      <c r="AV30" s="23">
        <f t="shared" ref="AV30:BA30" si="27">AV22+AV24+AV25+AV26+AV28</f>
        <v>8362</v>
      </c>
      <c r="AW30" s="23">
        <f t="shared" si="27"/>
        <v>8768</v>
      </c>
      <c r="AX30" s="23">
        <f t="shared" si="27"/>
        <v>8619</v>
      </c>
      <c r="AY30" s="23">
        <f t="shared" si="27"/>
        <v>10240</v>
      </c>
      <c r="AZ30" s="408">
        <f t="shared" si="27"/>
        <v>35988</v>
      </c>
      <c r="BA30" s="23">
        <f t="shared" si="27"/>
        <v>9021</v>
      </c>
      <c r="BB30" s="23">
        <f t="shared" ref="BB30:BG30" si="28">BB22+BB24+BB25+BB26+BB28</f>
        <v>9253</v>
      </c>
      <c r="BC30" s="23">
        <f t="shared" si="28"/>
        <v>9670</v>
      </c>
      <c r="BD30" s="23">
        <f t="shared" si="28"/>
        <v>9663</v>
      </c>
      <c r="BE30" s="408">
        <f t="shared" si="28"/>
        <v>37608</v>
      </c>
      <c r="BF30" s="23">
        <f t="shared" si="28"/>
        <v>9740</v>
      </c>
      <c r="BG30" s="23">
        <f t="shared" si="28"/>
        <v>10229</v>
      </c>
      <c r="BH30" s="23">
        <f>BH22+BH24+BH25+BH26+BH28</f>
        <v>9229</v>
      </c>
      <c r="BI30" s="23">
        <f>BI22+BI24+BI25+BI26+BI28</f>
        <v>10797</v>
      </c>
      <c r="BJ30" s="408">
        <f t="shared" si="23"/>
        <v>39995</v>
      </c>
      <c r="BK30" s="23">
        <f>BK22+BK24+BK25+BK26+BK28</f>
        <v>11028</v>
      </c>
      <c r="BL30" s="23">
        <f>BL22+BL24+BL25+BL26+BL28</f>
        <v>11063</v>
      </c>
      <c r="BM30" s="23"/>
      <c r="BN30" s="23"/>
      <c r="BO30" s="408">
        <f t="shared" si="24"/>
        <v>22091</v>
      </c>
    </row>
    <row r="31" spans="1:67" ht="14.5">
      <c r="A31" s="16"/>
      <c r="B31" s="138" t="s">
        <v>89</v>
      </c>
      <c r="C31" s="150">
        <v>1154</v>
      </c>
      <c r="D31" s="150">
        <v>1264</v>
      </c>
      <c r="E31" s="150">
        <v>1279</v>
      </c>
      <c r="F31" s="150">
        <v>1232</v>
      </c>
      <c r="G31" s="407">
        <f>SUM(C31:F31)</f>
        <v>4929</v>
      </c>
      <c r="H31" s="150">
        <v>1175</v>
      </c>
      <c r="I31" s="150">
        <v>1387</v>
      </c>
      <c r="J31" s="150">
        <v>1296</v>
      </c>
      <c r="K31" s="150">
        <v>1394</v>
      </c>
      <c r="L31" s="407">
        <f>SUM(H31:K31)-1</f>
        <v>5251</v>
      </c>
      <c r="M31" s="150">
        <v>1362</v>
      </c>
      <c r="N31" s="150">
        <v>1460</v>
      </c>
      <c r="O31" s="150">
        <v>1446</v>
      </c>
      <c r="P31" s="150">
        <v>1330</v>
      </c>
      <c r="Q31" s="407">
        <f>SUM(M31:P31)</f>
        <v>5598</v>
      </c>
      <c r="R31" s="150">
        <v>1371</v>
      </c>
      <c r="S31" s="150">
        <v>1403</v>
      </c>
      <c r="T31" s="150">
        <v>152</v>
      </c>
      <c r="U31" s="150">
        <v>1316</v>
      </c>
      <c r="V31" s="407">
        <f>SUM(R31:U31)-1</f>
        <v>4241</v>
      </c>
      <c r="W31" s="150">
        <v>1381</v>
      </c>
      <c r="X31" s="150">
        <v>1523</v>
      </c>
      <c r="Y31" s="150">
        <v>1522</v>
      </c>
      <c r="Z31" s="150">
        <v>1205</v>
      </c>
      <c r="AA31" s="407">
        <f>SUM(W31:Z31)</f>
        <v>5631</v>
      </c>
      <c r="AB31" s="150">
        <v>1365</v>
      </c>
      <c r="AC31" s="150">
        <v>1459</v>
      </c>
      <c r="AD31" s="150">
        <v>1383</v>
      </c>
      <c r="AE31" s="150">
        <v>1161</v>
      </c>
      <c r="AF31" s="407">
        <f>SUM(AB31:AE31)</f>
        <v>5368</v>
      </c>
      <c r="AG31" s="150">
        <v>1520</v>
      </c>
      <c r="AH31" s="150">
        <v>1892</v>
      </c>
      <c r="AI31" s="150">
        <v>1936</v>
      </c>
      <c r="AJ31" s="150">
        <v>1857</v>
      </c>
      <c r="AK31" s="407">
        <f>SUM(AG31:AJ31)</f>
        <v>7205</v>
      </c>
      <c r="AL31" s="209">
        <v>1975</v>
      </c>
      <c r="AM31" s="209">
        <v>2020</v>
      </c>
      <c r="AN31" s="209">
        <v>2121</v>
      </c>
      <c r="AO31" s="209">
        <v>1848</v>
      </c>
      <c r="AP31" s="407">
        <f>SUM(AL31:AO31)</f>
        <v>7964</v>
      </c>
      <c r="AQ31" s="209">
        <v>2172</v>
      </c>
      <c r="AR31" s="209">
        <v>2365</v>
      </c>
      <c r="AS31" s="209">
        <v>2345</v>
      </c>
      <c r="AT31" s="209">
        <v>2332</v>
      </c>
      <c r="AU31" s="407">
        <f>SUM(AQ31:AT31)</f>
        <v>9214</v>
      </c>
      <c r="AV31" s="209">
        <v>2417</v>
      </c>
      <c r="AW31" s="209">
        <v>2553</v>
      </c>
      <c r="AX31" s="209">
        <v>2506</v>
      </c>
      <c r="AY31" s="209">
        <v>2265</v>
      </c>
      <c r="AZ31" s="407">
        <f>SUM(AV31:AY31)-1</f>
        <v>9740</v>
      </c>
      <c r="BA31" s="209">
        <v>2647</v>
      </c>
      <c r="BB31" s="209">
        <v>2737</v>
      </c>
      <c r="BC31" s="209">
        <v>2848</v>
      </c>
      <c r="BD31" s="209">
        <v>2625</v>
      </c>
      <c r="BE31" s="407">
        <f>SUM(BA31:BD31)+1</f>
        <v>10858</v>
      </c>
      <c r="BF31" s="209">
        <v>2816</v>
      </c>
      <c r="BG31" s="209">
        <v>2854</v>
      </c>
      <c r="BH31" s="209">
        <v>2563</v>
      </c>
      <c r="BI31" s="209">
        <v>2288</v>
      </c>
      <c r="BJ31" s="407">
        <f t="shared" si="23"/>
        <v>10521</v>
      </c>
      <c r="BK31" s="209">
        <v>3253</v>
      </c>
      <c r="BL31" s="209">
        <v>3225</v>
      </c>
      <c r="BM31" s="209"/>
      <c r="BN31" s="209"/>
      <c r="BO31" s="407">
        <f t="shared" si="24"/>
        <v>6478</v>
      </c>
    </row>
    <row r="32" spans="1:67">
      <c r="A32" s="16"/>
      <c r="B32" s="399" t="s">
        <v>90</v>
      </c>
      <c r="C32" s="101"/>
      <c r="D32" s="111"/>
      <c r="E32" s="101"/>
      <c r="F32" s="101"/>
      <c r="G32" s="9"/>
      <c r="H32" s="101"/>
      <c r="I32" s="111"/>
      <c r="J32" s="101"/>
      <c r="K32" s="101"/>
      <c r="L32" s="9"/>
      <c r="M32" s="101"/>
      <c r="N32" s="111"/>
      <c r="O32" s="101"/>
      <c r="P32" s="101"/>
      <c r="Q32" s="9"/>
      <c r="R32" s="101"/>
      <c r="S32" s="101"/>
      <c r="T32" s="101"/>
      <c r="U32" s="101"/>
      <c r="V32" s="9"/>
      <c r="W32" s="101"/>
      <c r="X32" s="101"/>
      <c r="Y32" s="101"/>
      <c r="Z32" s="101"/>
      <c r="AA32" s="9"/>
      <c r="AB32" s="26"/>
      <c r="AC32" s="26"/>
      <c r="AD32" s="26"/>
      <c r="AE32" s="26"/>
      <c r="AF32" s="9"/>
      <c r="AG32" s="26"/>
      <c r="AH32" s="26"/>
      <c r="AI32" s="26"/>
      <c r="AJ32" s="26"/>
      <c r="AK32" s="9"/>
      <c r="AL32" s="26"/>
      <c r="AM32" s="26"/>
      <c r="AN32" s="26"/>
      <c r="AO32" s="26"/>
      <c r="AP32" s="9"/>
      <c r="AQ32" s="26"/>
      <c r="AR32" s="26"/>
      <c r="AS32" s="26"/>
      <c r="AT32" s="26"/>
      <c r="AU32" s="9">
        <v>0.27700000000000002</v>
      </c>
      <c r="AV32" s="26">
        <v>0.28899999999999998</v>
      </c>
      <c r="AW32" s="26">
        <v>0.29099999999999998</v>
      </c>
      <c r="AX32" s="26">
        <v>0.29099999999999998</v>
      </c>
      <c r="AY32" s="26">
        <v>0.221</v>
      </c>
      <c r="AZ32" s="9">
        <v>0.27100000000000002</v>
      </c>
      <c r="BA32" s="26">
        <v>0.29299999999999998</v>
      </c>
      <c r="BB32" s="26">
        <v>0.29599999999999999</v>
      </c>
      <c r="BC32" s="26">
        <v>0.29499999999999998</v>
      </c>
      <c r="BD32" s="26">
        <v>0.27200000000000002</v>
      </c>
      <c r="BE32" s="9">
        <v>0.28899999999999998</v>
      </c>
      <c r="BF32" s="26">
        <v>0.28899999999999998</v>
      </c>
      <c r="BG32" s="26">
        <f t="shared" ref="BG32:BL32" si="29">BG31/BG30</f>
        <v>0.27901065597810148</v>
      </c>
      <c r="BH32" s="26">
        <f t="shared" si="29"/>
        <v>0.27771156138259834</v>
      </c>
      <c r="BI32" s="26">
        <f t="shared" si="29"/>
        <v>0.21191071593961286</v>
      </c>
      <c r="BJ32" s="9">
        <f t="shared" si="29"/>
        <v>0.26305788223527943</v>
      </c>
      <c r="BK32" s="26">
        <f t="shared" si="29"/>
        <v>0.2949764236488937</v>
      </c>
      <c r="BL32" s="26">
        <f t="shared" si="29"/>
        <v>0.29151224803398718</v>
      </c>
      <c r="BM32" s="26"/>
      <c r="BN32" s="26"/>
      <c r="BO32" s="9">
        <f>BO31/BO30</f>
        <v>0.29324159159838847</v>
      </c>
    </row>
    <row r="33" spans="1:67" s="85" customFormat="1">
      <c r="A33" s="39"/>
      <c r="B33" s="140" t="s">
        <v>91</v>
      </c>
      <c r="C33" s="93">
        <f>C30-C31</f>
        <v>2886</v>
      </c>
      <c r="D33" s="93">
        <f>D30-D31</f>
        <v>3096</v>
      </c>
      <c r="E33" s="93">
        <f>E30-E31</f>
        <v>3250</v>
      </c>
      <c r="F33" s="93">
        <f>F30-F31</f>
        <v>3097</v>
      </c>
      <c r="G33" s="406">
        <f>SUM(C33:F33)</f>
        <v>12329</v>
      </c>
      <c r="H33" s="93">
        <f t="shared" ref="H33:Z33" si="30">H30-H31</f>
        <v>3030</v>
      </c>
      <c r="I33" s="93">
        <f t="shared" si="30"/>
        <v>3398</v>
      </c>
      <c r="J33" s="93">
        <f t="shared" si="30"/>
        <v>3465</v>
      </c>
      <c r="K33" s="93">
        <f t="shared" si="30"/>
        <v>3597</v>
      </c>
      <c r="L33" s="406">
        <f t="shared" si="30"/>
        <v>13491</v>
      </c>
      <c r="M33" s="93">
        <f t="shared" si="30"/>
        <v>3436</v>
      </c>
      <c r="N33" s="93">
        <f t="shared" si="30"/>
        <v>3606</v>
      </c>
      <c r="O33" s="93">
        <f t="shared" si="30"/>
        <v>3708</v>
      </c>
      <c r="P33" s="93">
        <f t="shared" si="30"/>
        <v>3603</v>
      </c>
      <c r="Q33" s="406">
        <f>Q30-Q31</f>
        <v>14353</v>
      </c>
      <c r="R33" s="93">
        <f t="shared" si="30"/>
        <v>3483</v>
      </c>
      <c r="S33" s="93">
        <f t="shared" si="30"/>
        <v>3726</v>
      </c>
      <c r="T33" s="93">
        <f t="shared" si="30"/>
        <v>5129</v>
      </c>
      <c r="U33" s="93">
        <f t="shared" si="30"/>
        <v>3690</v>
      </c>
      <c r="V33" s="406">
        <f>V30-V31</f>
        <v>16029</v>
      </c>
      <c r="W33" s="93">
        <f t="shared" si="30"/>
        <v>3612</v>
      </c>
      <c r="X33" s="93">
        <f t="shared" si="30"/>
        <v>4110</v>
      </c>
      <c r="Y33" s="93">
        <f t="shared" si="30"/>
        <v>3610</v>
      </c>
      <c r="Z33" s="93">
        <f t="shared" si="30"/>
        <v>4078</v>
      </c>
      <c r="AA33" s="406">
        <f t="shared" ref="AA33:AT33" si="31">AA30-AA31</f>
        <v>15410</v>
      </c>
      <c r="AB33" s="93">
        <f t="shared" si="31"/>
        <v>3802</v>
      </c>
      <c r="AC33" s="93">
        <f t="shared" si="31"/>
        <v>4037</v>
      </c>
      <c r="AD33" s="93">
        <f t="shared" si="31"/>
        <v>4466</v>
      </c>
      <c r="AE33" s="93">
        <f t="shared" si="31"/>
        <v>4335</v>
      </c>
      <c r="AF33" s="406">
        <f t="shared" si="31"/>
        <v>16639</v>
      </c>
      <c r="AG33" s="93">
        <f t="shared" si="31"/>
        <v>4272</v>
      </c>
      <c r="AH33" s="93">
        <f t="shared" si="31"/>
        <v>4858</v>
      </c>
      <c r="AI33" s="93">
        <f t="shared" si="31"/>
        <v>5215</v>
      </c>
      <c r="AJ33" s="93">
        <f t="shared" si="31"/>
        <v>5078</v>
      </c>
      <c r="AK33" s="406">
        <f>AK30-AK31</f>
        <v>19423</v>
      </c>
      <c r="AL33" s="23">
        <f t="shared" si="31"/>
        <v>5201</v>
      </c>
      <c r="AM33" s="23">
        <f t="shared" si="31"/>
        <v>5428</v>
      </c>
      <c r="AN33" s="23">
        <f t="shared" si="31"/>
        <v>5822</v>
      </c>
      <c r="AO33" s="23">
        <f t="shared" si="31"/>
        <v>5695</v>
      </c>
      <c r="AP33" s="406">
        <f>AP30-AP31</f>
        <v>22146</v>
      </c>
      <c r="AQ33" s="23">
        <f t="shared" si="31"/>
        <v>5362</v>
      </c>
      <c r="AR33" s="23">
        <f t="shared" si="31"/>
        <v>6026</v>
      </c>
      <c r="AS33" s="23">
        <f t="shared" si="31"/>
        <v>6586</v>
      </c>
      <c r="AT33" s="23">
        <f t="shared" si="31"/>
        <v>6134</v>
      </c>
      <c r="AU33" s="406">
        <f t="shared" ref="AU33:BB33" si="32">AU30-AU31</f>
        <v>24108</v>
      </c>
      <c r="AV33" s="23">
        <f t="shared" si="32"/>
        <v>5945</v>
      </c>
      <c r="AW33" s="23">
        <f t="shared" si="32"/>
        <v>6215</v>
      </c>
      <c r="AX33" s="23">
        <f t="shared" si="32"/>
        <v>6113</v>
      </c>
      <c r="AY33" s="23">
        <f t="shared" si="32"/>
        <v>7975</v>
      </c>
      <c r="AZ33" s="408">
        <f t="shared" si="32"/>
        <v>26248</v>
      </c>
      <c r="BA33" s="23">
        <f t="shared" si="32"/>
        <v>6374</v>
      </c>
      <c r="BB33" s="23">
        <f t="shared" si="32"/>
        <v>6516</v>
      </c>
      <c r="BC33" s="23">
        <f t="shared" ref="BC33:BK33" si="33">BC30-BC31</f>
        <v>6822</v>
      </c>
      <c r="BD33" s="23">
        <f t="shared" si="33"/>
        <v>7038</v>
      </c>
      <c r="BE33" s="408">
        <f t="shared" si="33"/>
        <v>26750</v>
      </c>
      <c r="BF33" s="23">
        <f t="shared" si="33"/>
        <v>6924</v>
      </c>
      <c r="BG33" s="23">
        <f t="shared" si="33"/>
        <v>7375</v>
      </c>
      <c r="BH33" s="23">
        <f t="shared" si="33"/>
        <v>6666</v>
      </c>
      <c r="BI33" s="23">
        <f t="shared" si="33"/>
        <v>8509</v>
      </c>
      <c r="BJ33" s="408">
        <f>BJ30-BJ31</f>
        <v>29474</v>
      </c>
      <c r="BK33" s="23">
        <f t="shared" si="33"/>
        <v>7775</v>
      </c>
      <c r="BL33" s="23">
        <f>BL30-BL31</f>
        <v>7838</v>
      </c>
      <c r="BM33" s="23"/>
      <c r="BN33" s="23"/>
      <c r="BO33" s="408">
        <f>BO30-BO31</f>
        <v>15613</v>
      </c>
    </row>
    <row r="34" spans="1:67" s="85" customFormat="1">
      <c r="A34" s="39"/>
      <c r="B34" s="140" t="s">
        <v>92</v>
      </c>
      <c r="C34" s="93"/>
      <c r="D34" s="93"/>
      <c r="E34" s="93"/>
      <c r="F34" s="93"/>
      <c r="G34" s="406"/>
      <c r="H34" s="93"/>
      <c r="I34" s="93"/>
      <c r="J34" s="93"/>
      <c r="K34" s="93"/>
      <c r="L34" s="406"/>
      <c r="M34" s="93"/>
      <c r="N34" s="93"/>
      <c r="O34" s="93"/>
      <c r="P34" s="93"/>
      <c r="Q34" s="406"/>
      <c r="R34" s="93"/>
      <c r="S34" s="93"/>
      <c r="T34" s="93"/>
      <c r="U34" s="93"/>
      <c r="V34" s="406"/>
      <c r="W34" s="93">
        <v>0</v>
      </c>
      <c r="X34" s="93">
        <v>0</v>
      </c>
      <c r="Y34" s="93">
        <v>1</v>
      </c>
      <c r="Z34" s="93">
        <v>4</v>
      </c>
      <c r="AA34" s="408">
        <f>SUM(W34:Z34)+1</f>
        <v>6</v>
      </c>
      <c r="AB34" s="93">
        <v>4</v>
      </c>
      <c r="AC34" s="93">
        <v>18</v>
      </c>
      <c r="AD34" s="93">
        <v>9</v>
      </c>
      <c r="AE34" s="93">
        <v>14</v>
      </c>
      <c r="AF34" s="408">
        <f>SUM(AB34:AE34)</f>
        <v>45</v>
      </c>
      <c r="AG34" s="93">
        <v>39</v>
      </c>
      <c r="AH34" s="93">
        <v>13</v>
      </c>
      <c r="AI34" s="93">
        <v>18</v>
      </c>
      <c r="AJ34" s="93">
        <v>2</v>
      </c>
      <c r="AK34" s="408">
        <f>SUM(AG34:AJ34)</f>
        <v>72</v>
      </c>
      <c r="AL34" s="23">
        <v>6</v>
      </c>
      <c r="AM34" s="23">
        <v>7</v>
      </c>
      <c r="AN34" s="23">
        <v>13</v>
      </c>
      <c r="AO34" s="23">
        <v>9</v>
      </c>
      <c r="AP34" s="408">
        <f>SUM(AL34:AO34)+1</f>
        <v>36</v>
      </c>
      <c r="AQ34" s="23">
        <v>2</v>
      </c>
      <c r="AR34" s="23">
        <v>5</v>
      </c>
      <c r="AS34" s="23">
        <v>0</v>
      </c>
      <c r="AT34" s="23">
        <v>6</v>
      </c>
      <c r="AU34" s="408">
        <f>SUM(AQ34:AT34)</f>
        <v>13</v>
      </c>
      <c r="AV34" s="23">
        <v>0</v>
      </c>
      <c r="AW34" s="23">
        <v>3</v>
      </c>
      <c r="AX34" s="23">
        <v>7</v>
      </c>
      <c r="AY34" s="23">
        <v>6</v>
      </c>
      <c r="AZ34" s="408">
        <f>SUM(AV34:AY34)-1</f>
        <v>15</v>
      </c>
      <c r="BA34" s="23">
        <v>6</v>
      </c>
      <c r="BB34" s="23">
        <v>10</v>
      </c>
      <c r="BC34" s="23">
        <v>16</v>
      </c>
      <c r="BD34" s="23">
        <v>5</v>
      </c>
      <c r="BE34" s="408">
        <f>SUM(BA34:BD34)</f>
        <v>37</v>
      </c>
      <c r="BF34" s="23">
        <v>3</v>
      </c>
      <c r="BG34" s="23">
        <v>11</v>
      </c>
      <c r="BH34" s="23">
        <v>12</v>
      </c>
      <c r="BI34" s="23">
        <v>8</v>
      </c>
      <c r="BJ34" s="408">
        <f>SUM(BF34:BI34)</f>
        <v>34</v>
      </c>
      <c r="BK34" s="23">
        <v>6</v>
      </c>
      <c r="BL34" s="23">
        <v>15</v>
      </c>
      <c r="BM34" s="23"/>
      <c r="BN34" s="23"/>
      <c r="BO34" s="408">
        <f>SUM(BK34:BN34)</f>
        <v>21</v>
      </c>
    </row>
    <row r="35" spans="1:67">
      <c r="A35" s="16"/>
      <c r="B35" s="138"/>
      <c r="C35" s="16"/>
      <c r="D35" s="16"/>
      <c r="E35" s="16"/>
      <c r="F35" s="16"/>
      <c r="G35" s="406"/>
      <c r="H35" s="16"/>
      <c r="I35" s="16"/>
      <c r="J35" s="16"/>
      <c r="K35" s="16"/>
      <c r="L35" s="406"/>
      <c r="M35" s="16"/>
      <c r="N35" s="16"/>
      <c r="O35" s="16"/>
      <c r="P35" s="16"/>
      <c r="Q35" s="406"/>
      <c r="R35" s="16"/>
      <c r="S35" s="16"/>
      <c r="T35" s="16"/>
      <c r="U35" s="16"/>
      <c r="V35" s="406"/>
      <c r="W35" s="16"/>
      <c r="X35" s="16"/>
      <c r="Y35" s="16"/>
      <c r="Z35" s="16"/>
      <c r="AA35" s="406"/>
      <c r="AB35" s="16"/>
      <c r="AC35" s="16"/>
      <c r="AD35" s="16"/>
      <c r="AE35" s="16"/>
      <c r="AF35" s="406"/>
      <c r="AG35" s="16"/>
      <c r="AH35" s="16"/>
      <c r="AI35" s="16"/>
      <c r="AJ35" s="16"/>
      <c r="AK35" s="406"/>
      <c r="AL35" s="16"/>
      <c r="AM35" s="16"/>
      <c r="AN35" s="16"/>
      <c r="AO35" s="16"/>
      <c r="AP35" s="406"/>
      <c r="AQ35" s="16"/>
      <c r="AR35" s="16"/>
      <c r="AS35" s="16"/>
      <c r="AT35" s="16"/>
      <c r="AU35" s="406"/>
      <c r="AV35" s="16"/>
      <c r="AW35" s="16"/>
      <c r="AX35" s="16"/>
      <c r="AY35" s="16"/>
      <c r="AZ35" s="406"/>
      <c r="BA35" s="16"/>
      <c r="BB35" s="16"/>
      <c r="BC35" s="16"/>
      <c r="BD35" s="16"/>
      <c r="BE35" s="406"/>
      <c r="BF35" s="16"/>
      <c r="BG35" s="16"/>
      <c r="BH35" s="16"/>
      <c r="BI35" s="16"/>
      <c r="BJ35" s="406"/>
      <c r="BK35" s="16"/>
      <c r="BL35" s="16"/>
      <c r="BM35" s="16"/>
      <c r="BN35" s="16"/>
      <c r="BO35" s="406"/>
    </row>
    <row r="36" spans="1:67" s="136" customFormat="1">
      <c r="A36" s="139"/>
      <c r="B36" s="140" t="s">
        <v>93</v>
      </c>
      <c r="C36" s="23">
        <f>C33</f>
        <v>2886</v>
      </c>
      <c r="D36" s="23">
        <f>D33</f>
        <v>3096</v>
      </c>
      <c r="E36" s="23">
        <f>E33</f>
        <v>3250</v>
      </c>
      <c r="F36" s="23">
        <f>F33</f>
        <v>3097</v>
      </c>
      <c r="G36" s="408">
        <f>SUM(C36:F36)</f>
        <v>12329</v>
      </c>
      <c r="H36" s="23">
        <f t="shared" ref="H36:U36" si="34">H33</f>
        <v>3030</v>
      </c>
      <c r="I36" s="23">
        <f t="shared" si="34"/>
        <v>3398</v>
      </c>
      <c r="J36" s="23">
        <f t="shared" si="34"/>
        <v>3465</v>
      </c>
      <c r="K36" s="23">
        <f t="shared" si="34"/>
        <v>3597</v>
      </c>
      <c r="L36" s="408">
        <f t="shared" si="34"/>
        <v>13491</v>
      </c>
      <c r="M36" s="23">
        <f t="shared" si="34"/>
        <v>3436</v>
      </c>
      <c r="N36" s="23">
        <f t="shared" si="34"/>
        <v>3606</v>
      </c>
      <c r="O36" s="23">
        <f t="shared" si="34"/>
        <v>3708</v>
      </c>
      <c r="P36" s="23">
        <f t="shared" si="34"/>
        <v>3603</v>
      </c>
      <c r="Q36" s="408">
        <f t="shared" si="34"/>
        <v>14353</v>
      </c>
      <c r="R36" s="23">
        <f t="shared" si="34"/>
        <v>3483</v>
      </c>
      <c r="S36" s="23">
        <f t="shared" si="34"/>
        <v>3726</v>
      </c>
      <c r="T36" s="23">
        <f t="shared" si="34"/>
        <v>5129</v>
      </c>
      <c r="U36" s="23">
        <f t="shared" si="34"/>
        <v>3690</v>
      </c>
      <c r="V36" s="408">
        <f>V33</f>
        <v>16029</v>
      </c>
      <c r="W36" s="23">
        <f t="shared" ref="W36:AB36" si="35">W33-W34</f>
        <v>3612</v>
      </c>
      <c r="X36" s="23">
        <f t="shared" si="35"/>
        <v>4110</v>
      </c>
      <c r="Y36" s="23">
        <f t="shared" si="35"/>
        <v>3609</v>
      </c>
      <c r="Z36" s="23">
        <f t="shared" si="35"/>
        <v>4074</v>
      </c>
      <c r="AA36" s="408">
        <f t="shared" si="35"/>
        <v>15404</v>
      </c>
      <c r="AB36" s="23">
        <f t="shared" si="35"/>
        <v>3798</v>
      </c>
      <c r="AC36" s="23">
        <f t="shared" ref="AC36:AM36" si="36">AC33-AC34</f>
        <v>4019</v>
      </c>
      <c r="AD36" s="23">
        <f t="shared" si="36"/>
        <v>4457</v>
      </c>
      <c r="AE36" s="23">
        <f t="shared" si="36"/>
        <v>4321</v>
      </c>
      <c r="AF36" s="408">
        <f t="shared" si="36"/>
        <v>16594</v>
      </c>
      <c r="AG36" s="23">
        <f t="shared" si="36"/>
        <v>4233</v>
      </c>
      <c r="AH36" s="23">
        <f t="shared" si="36"/>
        <v>4845</v>
      </c>
      <c r="AI36" s="23">
        <f t="shared" si="36"/>
        <v>5197</v>
      </c>
      <c r="AJ36" s="23">
        <f t="shared" si="36"/>
        <v>5076</v>
      </c>
      <c r="AK36" s="408">
        <f>AK33-AK34</f>
        <v>19351</v>
      </c>
      <c r="AL36" s="23">
        <f t="shared" si="36"/>
        <v>5195</v>
      </c>
      <c r="AM36" s="23">
        <f t="shared" si="36"/>
        <v>5421</v>
      </c>
      <c r="AN36" s="23">
        <f t="shared" ref="AN36:AT36" si="37">AN33-AN34</f>
        <v>5809</v>
      </c>
      <c r="AO36" s="23">
        <f t="shared" si="37"/>
        <v>5686</v>
      </c>
      <c r="AP36" s="408">
        <f t="shared" si="37"/>
        <v>22110</v>
      </c>
      <c r="AQ36" s="23">
        <f t="shared" si="37"/>
        <v>5360</v>
      </c>
      <c r="AR36" s="23">
        <f t="shared" si="37"/>
        <v>6021</v>
      </c>
      <c r="AS36" s="23">
        <f t="shared" si="37"/>
        <v>6586</v>
      </c>
      <c r="AT36" s="23">
        <f t="shared" si="37"/>
        <v>6128</v>
      </c>
      <c r="AU36" s="408">
        <f t="shared" ref="AU36:BB36" si="38">AU33-AU34</f>
        <v>24095</v>
      </c>
      <c r="AV36" s="23">
        <f t="shared" si="38"/>
        <v>5945</v>
      </c>
      <c r="AW36" s="23">
        <f t="shared" si="38"/>
        <v>6212</v>
      </c>
      <c r="AX36" s="23">
        <f t="shared" si="38"/>
        <v>6106</v>
      </c>
      <c r="AY36" s="23">
        <f t="shared" si="38"/>
        <v>7969</v>
      </c>
      <c r="AZ36" s="408">
        <f t="shared" si="38"/>
        <v>26233</v>
      </c>
      <c r="BA36" s="23">
        <f t="shared" si="38"/>
        <v>6368</v>
      </c>
      <c r="BB36" s="23">
        <f t="shared" si="38"/>
        <v>6506</v>
      </c>
      <c r="BC36" s="23">
        <f t="shared" ref="BC36:BI36" si="39">BC33-BC34</f>
        <v>6806</v>
      </c>
      <c r="BD36" s="23">
        <f t="shared" si="39"/>
        <v>7033</v>
      </c>
      <c r="BE36" s="408">
        <f t="shared" si="39"/>
        <v>26713</v>
      </c>
      <c r="BF36" s="23">
        <f t="shared" si="39"/>
        <v>6921</v>
      </c>
      <c r="BG36" s="23">
        <f t="shared" si="39"/>
        <v>7364</v>
      </c>
      <c r="BH36" s="23">
        <f t="shared" si="39"/>
        <v>6654</v>
      </c>
      <c r="BI36" s="23">
        <f t="shared" si="39"/>
        <v>8501</v>
      </c>
      <c r="BJ36" s="408">
        <f>BJ33-BJ34</f>
        <v>29440</v>
      </c>
      <c r="BK36" s="23">
        <f>BK33-BK34</f>
        <v>7769</v>
      </c>
      <c r="BL36" s="23">
        <f>BL33-BL34</f>
        <v>7823</v>
      </c>
      <c r="BM36" s="23"/>
      <c r="BN36" s="23"/>
      <c r="BO36" s="408">
        <f>BO33-BO34</f>
        <v>15592</v>
      </c>
    </row>
    <row r="37" spans="1:67">
      <c r="A37" s="16"/>
      <c r="B37" s="141"/>
      <c r="C37" s="111"/>
      <c r="D37" s="111"/>
      <c r="E37" s="111"/>
      <c r="F37" s="111"/>
      <c r="G37" s="406"/>
      <c r="H37" s="111"/>
      <c r="I37" s="111"/>
      <c r="J37" s="111"/>
      <c r="K37" s="111"/>
      <c r="L37" s="406"/>
      <c r="M37" s="111"/>
      <c r="N37" s="111"/>
      <c r="O37" s="111"/>
      <c r="P37" s="111"/>
      <c r="Q37" s="406"/>
      <c r="R37" s="111"/>
      <c r="S37" s="111"/>
      <c r="T37" s="111"/>
      <c r="U37" s="111"/>
      <c r="V37" s="406"/>
      <c r="W37" s="111"/>
      <c r="X37" s="111"/>
      <c r="Y37" s="111"/>
      <c r="Z37" s="111"/>
      <c r="AA37" s="406"/>
      <c r="AB37" s="111"/>
      <c r="AC37" s="111"/>
      <c r="AD37" s="111"/>
      <c r="AE37" s="111"/>
      <c r="AF37" s="406"/>
      <c r="AG37" s="111"/>
      <c r="AH37" s="111"/>
      <c r="AI37" s="111"/>
      <c r="AJ37" s="111"/>
      <c r="AK37" s="406"/>
      <c r="AL37" s="8"/>
      <c r="AM37" s="8"/>
      <c r="AN37" s="8"/>
      <c r="AO37" s="8"/>
      <c r="AP37" s="406"/>
      <c r="AQ37" s="8"/>
      <c r="AR37" s="8"/>
      <c r="AS37" s="8"/>
      <c r="AT37" s="8"/>
      <c r="AU37" s="406"/>
      <c r="AV37" s="8"/>
      <c r="AW37" s="8"/>
      <c r="AX37" s="8"/>
      <c r="AY37" s="8"/>
      <c r="AZ37" s="406"/>
      <c r="BA37" s="8"/>
      <c r="BB37" s="8"/>
      <c r="BC37" s="8"/>
      <c r="BD37" s="8"/>
      <c r="BE37" s="406"/>
      <c r="BF37" s="8"/>
      <c r="BG37" s="8"/>
      <c r="BH37" s="8"/>
      <c r="BI37" s="8"/>
      <c r="BJ37" s="406"/>
      <c r="BK37" s="8"/>
      <c r="BL37" s="8"/>
      <c r="BM37" s="8"/>
      <c r="BN37" s="8"/>
      <c r="BO37" s="406"/>
    </row>
    <row r="38" spans="1:67">
      <c r="A38" s="16"/>
      <c r="B38" s="2" t="s">
        <v>94</v>
      </c>
      <c r="C38" s="89"/>
      <c r="D38" s="89"/>
      <c r="E38" s="89"/>
      <c r="F38" s="89"/>
      <c r="G38" s="406"/>
      <c r="H38" s="89"/>
      <c r="I38" s="89"/>
      <c r="J38" s="89"/>
      <c r="K38" s="89"/>
      <c r="L38" s="406"/>
      <c r="M38" s="89"/>
      <c r="N38" s="89"/>
      <c r="O38" s="89"/>
      <c r="P38" s="89"/>
      <c r="Q38" s="406"/>
      <c r="R38" s="89"/>
      <c r="S38" s="89"/>
      <c r="T38" s="89"/>
      <c r="U38" s="89"/>
      <c r="V38" s="406"/>
      <c r="W38" s="89"/>
      <c r="X38" s="89"/>
      <c r="Y38" s="89"/>
      <c r="Z38" s="89"/>
      <c r="AA38" s="406"/>
      <c r="AB38" s="89"/>
      <c r="AC38" s="89"/>
      <c r="AD38" s="89"/>
      <c r="AE38" s="89"/>
      <c r="AF38" s="406"/>
      <c r="AG38" s="89"/>
      <c r="AH38" s="89"/>
      <c r="AI38" s="89"/>
      <c r="AJ38" s="89"/>
      <c r="AK38" s="406"/>
      <c r="AL38" s="19"/>
      <c r="AM38" s="19"/>
      <c r="AN38" s="19"/>
      <c r="AO38" s="19"/>
      <c r="AP38" s="406"/>
      <c r="AQ38" s="19"/>
      <c r="AR38" s="19"/>
      <c r="AS38" s="19"/>
      <c r="AT38" s="19"/>
      <c r="AU38" s="406"/>
      <c r="AV38" s="19"/>
      <c r="AW38" s="19"/>
      <c r="AX38" s="19"/>
      <c r="AY38" s="19"/>
      <c r="AZ38" s="406"/>
      <c r="BA38" s="19"/>
      <c r="BB38" s="19"/>
      <c r="BC38" s="19"/>
      <c r="BD38" s="19"/>
      <c r="BE38" s="406"/>
      <c r="BF38" s="19"/>
      <c r="BG38" s="19"/>
      <c r="BH38" s="19"/>
      <c r="BI38" s="19"/>
      <c r="BJ38" s="406"/>
      <c r="BK38" s="19"/>
      <c r="BL38" s="19"/>
      <c r="BM38" s="19"/>
      <c r="BN38" s="19"/>
      <c r="BO38" s="406"/>
    </row>
    <row r="39" spans="1:67" s="106" customFormat="1">
      <c r="A39" s="107"/>
      <c r="B39" s="70" t="s">
        <v>95</v>
      </c>
      <c r="C39" s="130">
        <v>6.3137499999999998</v>
      </c>
      <c r="D39" s="130">
        <v>6.7737499999999997</v>
      </c>
      <c r="E39" s="130">
        <v>7.11</v>
      </c>
      <c r="F39" s="130">
        <v>6.7750000000000004</v>
      </c>
      <c r="G39" s="422">
        <v>26.962499999999995</v>
      </c>
      <c r="H39" s="130">
        <v>6.63</v>
      </c>
      <c r="I39" s="130">
        <v>7.4349999999999996</v>
      </c>
      <c r="J39" s="130">
        <v>7.58</v>
      </c>
      <c r="K39" s="130">
        <v>7.87</v>
      </c>
      <c r="L39" s="422">
        <v>29.515000000000001</v>
      </c>
      <c r="M39" s="130">
        <v>7.5149999999999997</v>
      </c>
      <c r="N39" s="130">
        <v>7.8849999999999998</v>
      </c>
      <c r="O39" s="130">
        <v>8.1114719957795138</v>
      </c>
      <c r="P39" s="130">
        <v>7.8817673436849889</v>
      </c>
      <c r="Q39" s="422">
        <v>31.398239339464499</v>
      </c>
      <c r="R39" s="130">
        <v>7.6192514441021242</v>
      </c>
      <c r="S39" s="130">
        <v>8.1500863164792499</v>
      </c>
      <c r="T39" s="130">
        <v>11.275</v>
      </c>
      <c r="U39" s="130">
        <v>8.4894836188074425</v>
      </c>
      <c r="V39" s="422">
        <v>35.535783005552098</v>
      </c>
      <c r="W39" s="130">
        <v>8.3098339687304925</v>
      </c>
      <c r="X39" s="130">
        <f>X33/X44*10</f>
        <v>9.4546764019600111</v>
      </c>
      <c r="Y39" s="130">
        <f>Y36/Y44*10</f>
        <v>8.3009913882065209</v>
      </c>
      <c r="Z39" s="130">
        <f>Z36/Z44*10</f>
        <v>9.371701288816789</v>
      </c>
      <c r="AA39" s="422">
        <f>(AA36/AA44*10)+0.01</f>
        <v>35.444871843428913</v>
      </c>
      <c r="AB39" s="130">
        <f>AB36/AB44*10</f>
        <v>8.8280889502994544</v>
      </c>
      <c r="AC39" s="130">
        <f>AC36/AC44*10</f>
        <v>9.4579311643053217</v>
      </c>
      <c r="AD39" s="130">
        <f>AD36/AD44*10</f>
        <v>10.512765520853307</v>
      </c>
      <c r="AE39" s="130">
        <f>AE36/AE44*10</f>
        <v>10.190600660025371</v>
      </c>
      <c r="AF39" s="422">
        <f>(AF36/AF44*10)</f>
        <v>38.973594917833076</v>
      </c>
      <c r="AG39" s="130">
        <f>AG36/AG44*10</f>
        <v>9.9808987126069297</v>
      </c>
      <c r="AH39" s="130">
        <f>AH36/AH44*10</f>
        <v>11.421745738087143</v>
      </c>
      <c r="AI39" s="130">
        <f>AI36/AI44*10</f>
        <v>12.248791665894057</v>
      </c>
      <c r="AJ39" s="130">
        <f>AJ36/AJ44*10</f>
        <v>11.960962754198203</v>
      </c>
      <c r="AK39" s="422">
        <f>(AK36/AK44*10)</f>
        <v>45.613152898549636</v>
      </c>
      <c r="AL39" s="42">
        <f>AL36/AL44*10</f>
        <v>12.236436768041996</v>
      </c>
      <c r="AM39" s="42">
        <f>AM36/AM44*10</f>
        <v>12.876286299404565</v>
      </c>
      <c r="AN39" s="42">
        <f>AN36/AN44*10</f>
        <v>13.86109792244784</v>
      </c>
      <c r="AO39" s="42">
        <f>AO36/AO44*10</f>
        <v>13.564761819020333</v>
      </c>
      <c r="AP39" s="422">
        <f>(AP36/AP44*10)</f>
        <v>52.523469745432863</v>
      </c>
      <c r="AQ39" s="42">
        <f>AQ36/AQ44*10</f>
        <v>12.780931146822263</v>
      </c>
      <c r="AR39" s="42">
        <f>AR36/AR44*10</f>
        <v>14.354108248364518</v>
      </c>
      <c r="AS39" s="42">
        <f>AS36/AS44*10</f>
        <v>15.716312324953336</v>
      </c>
      <c r="AT39" s="42">
        <f>AT36/AT44*10</f>
        <v>14.787597702135212</v>
      </c>
      <c r="AU39" s="422">
        <f>(AU36/AU44*10)</f>
        <v>57.631161592857829</v>
      </c>
      <c r="AV39" s="42">
        <f>AV36/AV44*10</f>
        <v>14.369501271350389</v>
      </c>
      <c r="AW39" s="42">
        <f>AW36/AW44*10</f>
        <v>15.009774057035095</v>
      </c>
      <c r="AX39" s="42">
        <f>AX36/AX44*10+0.01</f>
        <v>14.762484689166623</v>
      </c>
      <c r="AY39" s="42">
        <f>AY36/AY44*10</f>
        <v>19.251432911462107</v>
      </c>
      <c r="AZ39" s="422">
        <f>(AZ36/AZ44*10)</f>
        <v>63.386657968456916</v>
      </c>
      <c r="BA39" s="42">
        <f>BA36/BA44*10</f>
        <v>15.38062966789264</v>
      </c>
      <c r="BB39" s="42">
        <f>BB36/BB44*10</f>
        <v>15.708121432089055</v>
      </c>
      <c r="BC39" s="42">
        <f>BC36/BC44*10</f>
        <v>16.431907850857407</v>
      </c>
      <c r="BD39" s="42">
        <f>BD36/BD44*10</f>
        <v>16.97795911618946</v>
      </c>
      <c r="BE39" s="422">
        <f>(BE36/BE44*10)</f>
        <v>64.499044550467232</v>
      </c>
      <c r="BF39" s="42">
        <f>BF36/BF44*10</f>
        <v>16.701369317688123</v>
      </c>
      <c r="BG39" s="42">
        <f>BG36/BG44*10-0.01</f>
        <v>17.755090498889519</v>
      </c>
      <c r="BH39" s="42">
        <f>BH36/BH44*10</f>
        <v>16.170319884541389</v>
      </c>
      <c r="BI39" s="42">
        <f>BI36/BI44*10</f>
        <v>21.01077466706672</v>
      </c>
      <c r="BJ39" s="422">
        <f>(BJ36/BJ44*10)</f>
        <v>71.581147766965614</v>
      </c>
      <c r="BK39" s="42">
        <f>BK36/BK44*10</f>
        <v>19.193650738556897</v>
      </c>
      <c r="BL39" s="42">
        <f>BL36/BL44*10</f>
        <v>19.316107440734783</v>
      </c>
      <c r="BM39" s="42"/>
      <c r="BN39" s="42"/>
      <c r="BO39" s="422">
        <f>(BO36/BO44*10)</f>
        <v>38.509733241840443</v>
      </c>
    </row>
    <row r="40" spans="1:67" s="106" customFormat="1">
      <c r="A40" s="107"/>
      <c r="B40" s="70" t="s">
        <v>96</v>
      </c>
      <c r="C40" s="130">
        <v>6.3137499999999998</v>
      </c>
      <c r="D40" s="130">
        <v>6.7737499999999997</v>
      </c>
      <c r="E40" s="130">
        <v>7.11</v>
      </c>
      <c r="F40" s="130">
        <v>6.7750000000000004</v>
      </c>
      <c r="G40" s="422">
        <v>26.962499999999995</v>
      </c>
      <c r="H40" s="130">
        <v>6.63</v>
      </c>
      <c r="I40" s="130">
        <v>7.4349999999999996</v>
      </c>
      <c r="J40" s="130">
        <v>7.58</v>
      </c>
      <c r="K40" s="130">
        <v>7.87</v>
      </c>
      <c r="L40" s="422">
        <v>29.51</v>
      </c>
      <c r="M40" s="130">
        <v>7.5149999999999997</v>
      </c>
      <c r="N40" s="130">
        <v>7.8849999999999998</v>
      </c>
      <c r="O40" s="130">
        <v>8.1094237101376123</v>
      </c>
      <c r="P40" s="130">
        <v>7.8783304046111988</v>
      </c>
      <c r="Q40" s="422">
        <v>31.38275411474881</v>
      </c>
      <c r="R40" s="130">
        <v>7.6145855824562965</v>
      </c>
      <c r="S40" s="130">
        <v>8.144169075943644</v>
      </c>
      <c r="T40" s="130">
        <v>11.265686007113473</v>
      </c>
      <c r="U40" s="130">
        <v>8.4835055124154302</v>
      </c>
      <c r="V40" s="422">
        <v>35.50049948088742</v>
      </c>
      <c r="W40" s="130">
        <v>8.3020925422413949</v>
      </c>
      <c r="X40" s="130">
        <f t="shared" ref="X40:AX40" si="40">X36/X45*10</f>
        <v>9.4434814564645695</v>
      </c>
      <c r="Y40" s="130">
        <f t="shared" si="40"/>
        <v>8.2913455463361458</v>
      </c>
      <c r="Z40" s="130">
        <f t="shared" si="40"/>
        <v>9.3590114095820649</v>
      </c>
      <c r="AA40" s="422">
        <f t="shared" si="40"/>
        <v>35.383669088626284</v>
      </c>
      <c r="AB40" s="130">
        <f t="shared" si="40"/>
        <v>8.8155704123423426</v>
      </c>
      <c r="AC40" s="130">
        <f t="shared" si="40"/>
        <v>9.4435319429041105</v>
      </c>
      <c r="AD40" s="130">
        <f t="shared" si="40"/>
        <v>10.497639364604602</v>
      </c>
      <c r="AE40" s="130">
        <f t="shared" si="40"/>
        <v>10.17668144812729</v>
      </c>
      <c r="AF40" s="422">
        <f t="shared" si="40"/>
        <v>38.906070024696945</v>
      </c>
      <c r="AG40" s="130">
        <f t="shared" si="40"/>
        <v>9.9687282760233504</v>
      </c>
      <c r="AH40" s="130">
        <f t="shared" si="40"/>
        <v>11.402786132616567</v>
      </c>
      <c r="AI40" s="130">
        <f t="shared" si="40"/>
        <v>12.226490059035228</v>
      </c>
      <c r="AJ40" s="130">
        <f t="shared" si="40"/>
        <v>11.938518492511134</v>
      </c>
      <c r="AK40" s="422">
        <f t="shared" si="40"/>
        <v>45.523918878049685</v>
      </c>
      <c r="AL40" s="42">
        <f t="shared" si="40"/>
        <v>12.214014880975006</v>
      </c>
      <c r="AM40" s="42">
        <f t="shared" si="40"/>
        <v>12.851168119573522</v>
      </c>
      <c r="AN40" s="42">
        <f t="shared" si="40"/>
        <v>13.83449697012394</v>
      </c>
      <c r="AO40" s="42">
        <f t="shared" si="40"/>
        <v>13.538768675790269</v>
      </c>
      <c r="AP40" s="422">
        <f t="shared" si="40"/>
        <v>52.411682513872634</v>
      </c>
      <c r="AQ40" s="42">
        <f t="shared" si="40"/>
        <v>12.763448575975563</v>
      </c>
      <c r="AR40" s="42">
        <f t="shared" si="40"/>
        <v>14.336296076502897</v>
      </c>
      <c r="AS40" s="42">
        <f t="shared" si="40"/>
        <v>15.696181713375365</v>
      </c>
      <c r="AT40" s="42">
        <f t="shared" si="40"/>
        <v>14.767847084542112</v>
      </c>
      <c r="AU40" s="422">
        <f t="shared" si="40"/>
        <v>57.537123557459005</v>
      </c>
      <c r="AV40" s="42">
        <f t="shared" si="40"/>
        <v>14.35224901870215</v>
      </c>
      <c r="AW40" s="42">
        <f t="shared" si="40"/>
        <v>14.994618235513501</v>
      </c>
      <c r="AX40" s="42">
        <f t="shared" si="40"/>
        <v>14.736100369835647</v>
      </c>
      <c r="AY40" s="42">
        <f>AY36/AY45*10-0.01</f>
        <v>19.2153300770721</v>
      </c>
      <c r="AZ40" s="422">
        <f t="shared" ref="AZ40:BI40" si="41">AZ36/AZ45*10</f>
        <v>63.293178990995436</v>
      </c>
      <c r="BA40" s="42">
        <f t="shared" si="41"/>
        <v>15.351689393341715</v>
      </c>
      <c r="BB40" s="42">
        <f t="shared" si="41"/>
        <v>15.675077230787487</v>
      </c>
      <c r="BC40" s="42">
        <f t="shared" si="41"/>
        <v>16.393937071731397</v>
      </c>
      <c r="BD40" s="42">
        <f t="shared" si="41"/>
        <v>16.940712454696008</v>
      </c>
      <c r="BE40" s="422">
        <f t="shared" si="41"/>
        <v>64.336875477207514</v>
      </c>
      <c r="BF40" s="42">
        <f t="shared" si="41"/>
        <v>16.675111422390994</v>
      </c>
      <c r="BG40" s="42">
        <f t="shared" si="41"/>
        <v>17.738954944850981</v>
      </c>
      <c r="BH40" s="42">
        <f t="shared" si="41"/>
        <v>16.143448531188337</v>
      </c>
      <c r="BI40" s="42">
        <f t="shared" si="41"/>
        <v>20.978885782512538</v>
      </c>
      <c r="BJ40" s="422">
        <f>BJ36/BJ45*10+0.01</f>
        <v>71.464434688521521</v>
      </c>
      <c r="BK40" s="42">
        <f>BK36/BK45*10</f>
        <v>19.169095309084099</v>
      </c>
      <c r="BL40" s="42">
        <f>BL36/BL45*10</f>
        <v>19.295435206945267</v>
      </c>
      <c r="BM40" s="42"/>
      <c r="BN40" s="42"/>
      <c r="BO40" s="422">
        <f>BO36/BO45*10</f>
        <v>38.459360986918391</v>
      </c>
    </row>
    <row r="41" spans="1:67" s="106" customFormat="1">
      <c r="A41" s="107"/>
      <c r="B41" s="70"/>
      <c r="C41" s="130"/>
      <c r="D41" s="130"/>
      <c r="E41" s="130"/>
      <c r="F41" s="130"/>
      <c r="G41" s="422"/>
      <c r="H41" s="130"/>
      <c r="I41" s="130"/>
      <c r="J41" s="130"/>
      <c r="K41" s="130"/>
      <c r="L41" s="422"/>
      <c r="M41" s="130"/>
      <c r="N41" s="130"/>
      <c r="O41" s="130"/>
      <c r="P41" s="130"/>
      <c r="Q41" s="422"/>
      <c r="R41" s="130"/>
      <c r="S41" s="130"/>
      <c r="T41" s="130"/>
      <c r="U41" s="130"/>
      <c r="V41" s="422"/>
      <c r="W41" s="130"/>
      <c r="X41" s="130"/>
      <c r="Y41" s="130"/>
      <c r="Z41" s="130"/>
      <c r="AA41" s="422"/>
      <c r="AB41" s="130"/>
      <c r="AC41" s="130"/>
      <c r="AD41" s="130"/>
      <c r="AE41" s="130"/>
      <c r="AF41" s="422"/>
      <c r="AG41" s="130"/>
      <c r="AH41" s="130"/>
      <c r="AI41" s="130"/>
      <c r="AJ41" s="130"/>
      <c r="AK41" s="422"/>
      <c r="AL41" s="42"/>
      <c r="AM41" s="42"/>
      <c r="AN41" s="42"/>
      <c r="AO41" s="42"/>
      <c r="AP41" s="422"/>
      <c r="AQ41" s="42"/>
      <c r="AR41" s="42"/>
      <c r="AS41" s="42"/>
      <c r="AT41" s="42"/>
      <c r="AU41" s="422"/>
      <c r="AV41" s="42"/>
      <c r="AW41" s="42"/>
      <c r="AX41" s="42"/>
      <c r="AY41" s="42"/>
      <c r="AZ41" s="422"/>
      <c r="BA41" s="42"/>
      <c r="BB41" s="42"/>
      <c r="BC41" s="42"/>
      <c r="BD41" s="42"/>
      <c r="BE41" s="422"/>
      <c r="BF41" s="42"/>
      <c r="BG41" s="42"/>
      <c r="BH41" s="42"/>
      <c r="BI41" s="42"/>
      <c r="BJ41" s="422"/>
      <c r="BK41" s="42"/>
      <c r="BL41" s="42"/>
      <c r="BM41" s="42"/>
      <c r="BN41" s="42"/>
      <c r="BO41" s="422"/>
    </row>
    <row r="42" spans="1:67" s="106" customFormat="1">
      <c r="A42" s="107"/>
      <c r="B42" s="2" t="s">
        <v>97</v>
      </c>
      <c r="C42" s="130"/>
      <c r="D42" s="130"/>
      <c r="E42" s="130"/>
      <c r="F42" s="130"/>
      <c r="G42" s="422"/>
      <c r="H42" s="130"/>
      <c r="I42" s="130"/>
      <c r="J42" s="130"/>
      <c r="K42" s="130"/>
      <c r="L42" s="422"/>
      <c r="M42" s="130"/>
      <c r="N42" s="130"/>
      <c r="O42" s="130"/>
      <c r="P42" s="130"/>
      <c r="Q42" s="422"/>
      <c r="R42" s="130"/>
      <c r="S42" s="130"/>
      <c r="T42" s="130"/>
      <c r="U42" s="130"/>
      <c r="V42" s="422"/>
      <c r="W42" s="130"/>
      <c r="X42" s="130"/>
      <c r="Y42" s="130"/>
      <c r="Z42" s="130"/>
      <c r="AA42" s="422"/>
      <c r="AB42" s="130"/>
      <c r="AC42" s="130"/>
      <c r="AD42" s="130"/>
      <c r="AE42" s="130"/>
      <c r="AF42" s="422"/>
      <c r="AG42" s="130"/>
      <c r="AH42" s="130"/>
      <c r="AI42" s="130"/>
      <c r="AJ42" s="130"/>
      <c r="AK42" s="422"/>
      <c r="AL42" s="42"/>
      <c r="AM42" s="42"/>
      <c r="AN42" s="42"/>
      <c r="AO42" s="42"/>
      <c r="AP42" s="422"/>
      <c r="AQ42" s="42"/>
      <c r="AR42" s="42"/>
      <c r="AS42" s="42"/>
      <c r="AT42" s="42"/>
      <c r="AU42" s="422"/>
      <c r="AV42" s="42"/>
      <c r="AW42" s="42"/>
      <c r="AX42" s="42"/>
      <c r="AY42" s="42"/>
      <c r="AZ42" s="422"/>
      <c r="BA42" s="42"/>
      <c r="BB42" s="42"/>
      <c r="BC42" s="42"/>
      <c r="BD42" s="42"/>
      <c r="BE42" s="422"/>
      <c r="BF42" s="42"/>
      <c r="BG42" s="42"/>
      <c r="BH42" s="42"/>
      <c r="BI42" s="42"/>
      <c r="BJ42" s="422"/>
      <c r="BK42" s="42"/>
      <c r="BL42" s="42"/>
      <c r="BM42" s="42"/>
      <c r="BN42" s="42"/>
      <c r="BO42" s="422"/>
    </row>
    <row r="43" spans="1:67">
      <c r="A43" s="16"/>
      <c r="B43" s="138" t="s">
        <v>98</v>
      </c>
      <c r="C43" s="89"/>
      <c r="D43" s="89"/>
      <c r="E43" s="89"/>
      <c r="F43" s="89"/>
      <c r="G43" s="406"/>
      <c r="H43" s="89"/>
      <c r="I43" s="89"/>
      <c r="J43" s="89"/>
      <c r="K43" s="89"/>
      <c r="L43" s="406"/>
      <c r="M43" s="89"/>
      <c r="N43" s="89"/>
      <c r="O43" s="89"/>
      <c r="P43" s="89"/>
      <c r="Q43" s="406"/>
      <c r="R43" s="89"/>
      <c r="S43" s="89"/>
      <c r="T43" s="89"/>
      <c r="U43" s="89"/>
      <c r="V43" s="406"/>
      <c r="W43" s="89"/>
      <c r="X43" s="89"/>
      <c r="Y43" s="89"/>
      <c r="Z43" s="89"/>
      <c r="AA43" s="406"/>
      <c r="AB43" s="89"/>
      <c r="AC43" s="89"/>
      <c r="AD43" s="89"/>
      <c r="AE43" s="89"/>
      <c r="AF43" s="406"/>
      <c r="AG43" s="89"/>
      <c r="AH43" s="89"/>
      <c r="AI43" s="89"/>
      <c r="AJ43" s="89"/>
      <c r="AK43" s="406"/>
      <c r="AL43" s="19"/>
      <c r="AM43" s="19"/>
      <c r="AN43" s="19"/>
      <c r="AO43" s="19"/>
      <c r="AP43" s="406"/>
      <c r="AQ43" s="19"/>
      <c r="AR43" s="19"/>
      <c r="AS43" s="19"/>
      <c r="AT43" s="19"/>
      <c r="AU43" s="406"/>
      <c r="AV43" s="19"/>
      <c r="AW43" s="19"/>
      <c r="AX43" s="19"/>
      <c r="AY43" s="19"/>
      <c r="AZ43" s="406"/>
      <c r="BA43" s="19"/>
      <c r="BB43" s="19"/>
      <c r="BC43" s="19"/>
      <c r="BD43" s="19"/>
      <c r="BE43" s="406"/>
      <c r="BF43" s="19"/>
      <c r="BG43" s="19"/>
      <c r="BH43" s="19"/>
      <c r="BI43" s="19"/>
      <c r="BJ43" s="406"/>
      <c r="BK43" s="19"/>
      <c r="BL43" s="19"/>
      <c r="BM43" s="19"/>
      <c r="BN43" s="19"/>
      <c r="BO43" s="406"/>
    </row>
    <row r="44" spans="1:67">
      <c r="A44" s="16"/>
      <c r="B44" s="141" t="s">
        <v>99</v>
      </c>
      <c r="C44" s="235">
        <f>(1142.805*2)*2</f>
        <v>4571.22</v>
      </c>
      <c r="D44" s="235">
        <f>(1142.805*2)*2</f>
        <v>4571.22</v>
      </c>
      <c r="E44" s="233">
        <f>(1142.805*2)*2</f>
        <v>4571.22</v>
      </c>
      <c r="F44" s="233">
        <f>(1142.805*2)*2</f>
        <v>4571.22</v>
      </c>
      <c r="G44" s="421">
        <f>(1142.805*2)*2</f>
        <v>4571.22</v>
      </c>
      <c r="H44" s="235">
        <v>4571.22</v>
      </c>
      <c r="I44" s="235">
        <v>4571.2280000000001</v>
      </c>
      <c r="J44" s="233">
        <v>4571.2380000000003</v>
      </c>
      <c r="K44" s="233">
        <v>4571.2420000000002</v>
      </c>
      <c r="L44" s="421">
        <v>4571.232</v>
      </c>
      <c r="M44" s="235">
        <v>4571.2439999999997</v>
      </c>
      <c r="N44" s="235">
        <v>4571.28</v>
      </c>
      <c r="O44" s="233">
        <f>(2285651730/1000000)*2</f>
        <v>4571.3034600000001</v>
      </c>
      <c r="P44" s="233">
        <f>(2285654881/1000000)*2</f>
        <v>4571.3097619999999</v>
      </c>
      <c r="Q44" s="421">
        <f>(2285639447/1000000)*2</f>
        <v>4571.278894</v>
      </c>
      <c r="R44" s="233">
        <f>(2285657604/1000000)*2</f>
        <v>4571.315208</v>
      </c>
      <c r="S44" s="235">
        <f>(2285865361/10^6)*2</f>
        <v>4571.7307220000002</v>
      </c>
      <c r="T44" s="235">
        <f>(2275074804/10^6)*2</f>
        <v>4550.1496079999997</v>
      </c>
      <c r="U44" s="235">
        <f>(2173277060/10^6)*2</f>
        <v>4346.5541199999998</v>
      </c>
      <c r="V44" s="421">
        <f>(2255332322/10^6)*2</f>
        <v>4510.6646440000004</v>
      </c>
      <c r="W44" s="233">
        <f>(2173328621/10^6)*2</f>
        <v>4346.6572420000002</v>
      </c>
      <c r="X44" s="235">
        <f>4347055177/10^6</f>
        <v>4347.0551770000002</v>
      </c>
      <c r="Y44" s="235">
        <f>4347673466/10^6</f>
        <v>4347.6734660000002</v>
      </c>
      <c r="Z44" s="235">
        <f>4347129592/10^6</f>
        <v>4347.1295920000002</v>
      </c>
      <c r="AA44" s="421">
        <f>4347130157/10^6</f>
        <v>4347.1301569999996</v>
      </c>
      <c r="AB44" s="233">
        <f>(4302176860/10^6)</f>
        <v>4302.1768599999996</v>
      </c>
      <c r="AC44" s="233">
        <f>(4249343678/10^6)</f>
        <v>4249.3436780000002</v>
      </c>
      <c r="AD44" s="233">
        <v>4239.6075430000001</v>
      </c>
      <c r="AE44" s="235">
        <f>4240181854/10^6</f>
        <v>4240.1818540000004</v>
      </c>
      <c r="AF44" s="421">
        <f>4257754522/10^6</f>
        <v>4257.7545220000002</v>
      </c>
      <c r="AG44" s="233">
        <f>4241101049/10^6</f>
        <v>4241.1010489999999</v>
      </c>
      <c r="AH44" s="233">
        <f>4241908471/10^6</f>
        <v>4241.9084709999997</v>
      </c>
      <c r="AI44" s="233">
        <f>4242867494/10^6</f>
        <v>4242.8674940000001</v>
      </c>
      <c r="AJ44" s="235">
        <f>4243805540/10^6</f>
        <v>4243.8055400000003</v>
      </c>
      <c r="AK44" s="421">
        <f>4242416665/10^6</f>
        <v>4242.4166649999997</v>
      </c>
      <c r="AL44" s="235">
        <f>4245516974/10^6</f>
        <v>4245.5169740000001</v>
      </c>
      <c r="AM44" s="235">
        <f>4210064823/10^6</f>
        <v>4210.0648229999997</v>
      </c>
      <c r="AN44" s="235">
        <f>4190865711/10^6</f>
        <v>4190.8657110000004</v>
      </c>
      <c r="AO44" s="235">
        <f>4191743339/10^6</f>
        <v>4191.7433389999997</v>
      </c>
      <c r="AP44" s="421">
        <f>4209546724/10^6</f>
        <v>4209.5467239999998</v>
      </c>
      <c r="AQ44" s="235">
        <f>4193747652.98901/10^6</f>
        <v>4193.74765298901</v>
      </c>
      <c r="AR44" s="235">
        <f>4194617942/10^6</f>
        <v>4194.6179419999999</v>
      </c>
      <c r="AS44" s="235">
        <f>4190550470/10^6</f>
        <v>4190.5504700000001</v>
      </c>
      <c r="AT44" s="235">
        <f>4144013195/10^6</f>
        <v>4144.0131950000005</v>
      </c>
      <c r="AU44" s="421">
        <f>4180897857/10^6</f>
        <v>4180.8978569999999</v>
      </c>
      <c r="AV44" s="235">
        <f>4137234750/10^6</f>
        <v>4137.2347499999996</v>
      </c>
      <c r="AW44" s="235">
        <f>4138636582/10^6</f>
        <v>4138.6365820000001</v>
      </c>
      <c r="AX44" s="235">
        <f>4138963794/10^6</f>
        <v>4138.9637940000002</v>
      </c>
      <c r="AY44" s="235">
        <f>4139432133/10^6</f>
        <v>4139.4321330000002</v>
      </c>
      <c r="AZ44" s="421">
        <f>4138568090/10^6</f>
        <v>4138.5680899999998</v>
      </c>
      <c r="BA44" s="235">
        <f>4140272627/10^6</f>
        <v>4140.2726270000003</v>
      </c>
      <c r="BB44" s="235">
        <f>4141806535/10^6</f>
        <v>4141.8065349999997</v>
      </c>
      <c r="BC44" s="235">
        <f>4141941436/10^6</f>
        <v>4141.9414360000001</v>
      </c>
      <c r="BD44" s="235">
        <f>4142429577/10^6</f>
        <v>4142.4295769999999</v>
      </c>
      <c r="BE44" s="421">
        <f>4141611738/10^6</f>
        <v>4141.6117379999996</v>
      </c>
      <c r="BF44" s="235">
        <f>4143971592/10^6</f>
        <v>4143.9715919999999</v>
      </c>
      <c r="BG44" s="235">
        <f>4145208267/10^6</f>
        <v>4145.208267</v>
      </c>
      <c r="BH44" s="235">
        <f>4114946425/10^6</f>
        <v>4114.9464250000001</v>
      </c>
      <c r="BI44" s="235">
        <f>4046.019309</f>
        <v>4046.0193089999998</v>
      </c>
      <c r="BJ44" s="421">
        <v>4112.8147449999997</v>
      </c>
      <c r="BK44" s="235">
        <v>4047.6927009999999</v>
      </c>
      <c r="BL44" s="235">
        <v>4049.9878269999999</v>
      </c>
      <c r="BM44" s="235"/>
      <c r="BN44" s="235"/>
      <c r="BO44" s="421">
        <v>4048.8465350000001</v>
      </c>
    </row>
    <row r="45" spans="1:67">
      <c r="A45" s="16"/>
      <c r="B45" s="143" t="s">
        <v>100</v>
      </c>
      <c r="C45" s="236">
        <f>(1142.805*2)*2</f>
        <v>4571.22</v>
      </c>
      <c r="D45" s="236">
        <f>(1142.812*2)*2</f>
        <v>4571.2479999999996</v>
      </c>
      <c r="E45" s="234">
        <f>(1142.827*2)*2</f>
        <v>4571.308</v>
      </c>
      <c r="F45" s="234">
        <f>(1142.833*2)*2</f>
        <v>4571.3320000000003</v>
      </c>
      <c r="G45" s="423">
        <f>(1142.821*2)*2</f>
        <v>4571.2839999999997</v>
      </c>
      <c r="H45" s="236">
        <v>4571.34</v>
      </c>
      <c r="I45" s="236">
        <v>4571.4260000000004</v>
      </c>
      <c r="J45" s="234">
        <v>4571.4639999999999</v>
      </c>
      <c r="K45" s="234">
        <v>4571.5</v>
      </c>
      <c r="L45" s="423">
        <v>4571.4380000000001</v>
      </c>
      <c r="M45" s="236">
        <v>4571.5360000000001</v>
      </c>
      <c r="N45" s="236">
        <v>4571.88</v>
      </c>
      <c r="O45" s="234">
        <f>(2286229042/1000000)*2</f>
        <v>4572.4580839999999</v>
      </c>
      <c r="P45" s="234">
        <f>(2286652003/1000000)*2</f>
        <v>4573.3040060000003</v>
      </c>
      <c r="Q45" s="423">
        <f>(2286396745/1000000)*2</f>
        <v>4572.79349</v>
      </c>
      <c r="R45" s="234">
        <f>(2287058148/1000000)*2</f>
        <v>4574.1162960000001</v>
      </c>
      <c r="S45" s="236">
        <f>(2287526183/10^6)*2</f>
        <v>4575.0523659999999</v>
      </c>
      <c r="T45" s="236">
        <f>(2276381570/10^6)*2</f>
        <v>4552.76314</v>
      </c>
      <c r="U45" s="236">
        <f>(2174808512/10^6)*2</f>
        <v>4349.6170240000001</v>
      </c>
      <c r="V45" s="423">
        <f>(2257573870/10^6)*2</f>
        <v>4515.1477400000003</v>
      </c>
      <c r="W45" s="234">
        <f>(2175355178/10^6)*2</f>
        <v>4350.7103559999996</v>
      </c>
      <c r="X45" s="236">
        <f>4352208472/10^6</f>
        <v>4352.2084720000003</v>
      </c>
      <c r="Y45" s="236">
        <f>4352731387/10^6</f>
        <v>4352.7313869999998</v>
      </c>
      <c r="Z45" s="236">
        <f>4353023863/10^6</f>
        <v>4353.0238630000003</v>
      </c>
      <c r="AA45" s="423">
        <f>4353420772/10^6</f>
        <v>4353.4207720000004</v>
      </c>
      <c r="AB45" s="234">
        <f>(4308286160/10^6)</f>
        <v>4308.2861599999997</v>
      </c>
      <c r="AC45" s="234">
        <f>(4255822953/10^6)</f>
        <v>4255.8229529999999</v>
      </c>
      <c r="AD45" s="234">
        <v>4245.716437</v>
      </c>
      <c r="AE45" s="236">
        <f>4245981386/10^6</f>
        <v>4245.9813860000004</v>
      </c>
      <c r="AF45" s="423">
        <f>4265144228/10^6</f>
        <v>4265.1442280000001</v>
      </c>
      <c r="AG45" s="234">
        <f>4246278846/10^6</f>
        <v>4246.2788460000002</v>
      </c>
      <c r="AH45" s="234">
        <f>4248961564/10^6</f>
        <v>4248.9615640000002</v>
      </c>
      <c r="AI45" s="234">
        <f>4250606654/10^6</f>
        <v>4250.6066540000002</v>
      </c>
      <c r="AJ45" s="236">
        <f>4251783840/10^6</f>
        <v>4251.7838400000001</v>
      </c>
      <c r="AK45" s="423">
        <f>4250732467/10^6</f>
        <v>4250.7324669999998</v>
      </c>
      <c r="AL45" s="236">
        <f>4253310685/10^6</f>
        <v>4253.3106850000004</v>
      </c>
      <c r="AM45" s="236">
        <f>4218293582/10^6</f>
        <v>4218.2935820000002</v>
      </c>
      <c r="AN45" s="236">
        <f>4198923902/10^6</f>
        <v>4198.9239020000005</v>
      </c>
      <c r="AO45" s="236">
        <f>4199791086/10^6</f>
        <v>4199.7910860000002</v>
      </c>
      <c r="AP45" s="423">
        <f>4218525134/10^6</f>
        <v>4218.5251340000004</v>
      </c>
      <c r="AQ45" s="236">
        <f>4199491985.33149/10^6</f>
        <v>4199.4919853314905</v>
      </c>
      <c r="AR45" s="236">
        <f>4199829557/10^6</f>
        <v>4199.829557</v>
      </c>
      <c r="AS45" s="236">
        <f>4195924920/10^6</f>
        <v>4195.9249200000004</v>
      </c>
      <c r="AT45" s="236">
        <f>4149555426/10^6</f>
        <v>4149.5554259999999</v>
      </c>
      <c r="AU45" s="423">
        <f>4187731070/10^6</f>
        <v>4187.7310699999998</v>
      </c>
      <c r="AV45" s="236">
        <f>4142207951/10^6</f>
        <v>4142.2079510000003</v>
      </c>
      <c r="AW45" s="236">
        <f>4142819712/10^6</f>
        <v>4142.8197120000004</v>
      </c>
      <c r="AX45" s="236">
        <f>4143565697/10^6</f>
        <v>4143.565697</v>
      </c>
      <c r="AY45" s="236">
        <f>4145052370/10^6</f>
        <v>4145.0523700000003</v>
      </c>
      <c r="AZ45" s="423">
        <f>4144680425/10^6</f>
        <v>4144.6804249999996</v>
      </c>
      <c r="BA45" s="236">
        <f>4148077672/10^6</f>
        <v>4148.0776720000003</v>
      </c>
      <c r="BB45" s="236">
        <f>4150537764/10^6</f>
        <v>4150.5377639999997</v>
      </c>
      <c r="BC45" s="236">
        <f>4151534784/10^6</f>
        <v>4151.5347840000004</v>
      </c>
      <c r="BD45" s="236">
        <f>4151537321/10^6</f>
        <v>4151.5373209999998</v>
      </c>
      <c r="BE45" s="423">
        <f>4152051184/10^6</f>
        <v>4152.0511839999999</v>
      </c>
      <c r="BF45" s="236">
        <f>4150497004/10^6</f>
        <v>4150.4970039999998</v>
      </c>
      <c r="BG45" s="236">
        <f>4151315578/10^6</f>
        <v>4151.3155779999997</v>
      </c>
      <c r="BH45" s="236">
        <f>4121795902/10^6</f>
        <v>4121.7959019999998</v>
      </c>
      <c r="BI45" s="236">
        <v>4052.1694470000002</v>
      </c>
      <c r="BJ45" s="423">
        <v>4120.1081679999998</v>
      </c>
      <c r="BK45" s="236">
        <v>4052.8777570000002</v>
      </c>
      <c r="BL45" s="236">
        <v>4054.3267959999998</v>
      </c>
      <c r="BM45" s="236"/>
      <c r="BN45" s="236"/>
      <c r="BO45" s="423">
        <v>4054.149523</v>
      </c>
    </row>
    <row r="46" spans="1:67">
      <c r="A46" s="16"/>
      <c r="B46" s="16"/>
      <c r="C46" s="101"/>
      <c r="D46" s="16"/>
      <c r="E46" s="16"/>
      <c r="F46" s="16"/>
      <c r="G46" s="16"/>
      <c r="H46" s="101"/>
      <c r="I46" s="16"/>
      <c r="J46" s="16"/>
      <c r="K46" s="16"/>
      <c r="L46" s="16"/>
      <c r="M46" s="101"/>
      <c r="N46" s="16"/>
      <c r="O46" s="16"/>
      <c r="P46" s="16"/>
      <c r="Q46" s="16"/>
      <c r="R46" s="101"/>
      <c r="S46" s="101"/>
      <c r="T46" s="101"/>
      <c r="U46" s="101"/>
      <c r="V46" s="16"/>
      <c r="W46" s="101"/>
      <c r="X46" s="101"/>
      <c r="Y46" s="101"/>
      <c r="Z46" s="101"/>
      <c r="AA46" s="16"/>
      <c r="AB46" s="101"/>
      <c r="AC46" s="101"/>
      <c r="AD46" s="101"/>
      <c r="AE46" s="101"/>
      <c r="AF46" s="16"/>
      <c r="AG46" s="101"/>
      <c r="AH46" s="101"/>
      <c r="AI46" s="101"/>
      <c r="AJ46" s="101"/>
      <c r="AK46" s="16"/>
      <c r="AL46" s="101"/>
      <c r="AM46" s="101"/>
      <c r="AN46" s="101"/>
      <c r="AO46" s="101"/>
      <c r="AP46" s="16"/>
      <c r="AQ46" s="101"/>
      <c r="AR46" s="101"/>
      <c r="AS46" s="101"/>
      <c r="AT46" s="101"/>
      <c r="AU46" s="16"/>
      <c r="AV46" s="101"/>
      <c r="AW46" s="101"/>
      <c r="AX46" s="101"/>
      <c r="AY46" s="101"/>
      <c r="AZ46" s="16"/>
      <c r="BA46" s="101"/>
      <c r="BB46" s="101"/>
      <c r="BC46" s="101"/>
      <c r="BD46" s="101"/>
      <c r="BE46" s="16"/>
      <c r="BF46" s="101"/>
      <c r="BG46" s="101"/>
      <c r="BH46" s="101"/>
      <c r="BI46" s="101"/>
      <c r="BJ46" s="16"/>
      <c r="BK46" s="101"/>
      <c r="BL46" s="101"/>
      <c r="BM46" s="101"/>
      <c r="BN46" s="101"/>
      <c r="BO46" s="16"/>
    </row>
    <row r="47" spans="1:67">
      <c r="A47" s="16"/>
      <c r="B47" s="39" t="s">
        <v>101</v>
      </c>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row>
    <row r="48" spans="1:67">
      <c r="A48" s="16"/>
      <c r="B48" s="39" t="s">
        <v>102</v>
      </c>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row>
    <row r="49" spans="1:67">
      <c r="A49" s="16"/>
      <c r="B49" s="39" t="s">
        <v>103</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row>
    <row r="50" spans="1:67">
      <c r="A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row>
    <row r="51" spans="1:67">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row>
    <row r="52" spans="1:67">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row>
    <row r="53" spans="1:67">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row>
    <row r="54" spans="1:67">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row>
    <row r="55" spans="1:67">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row>
    <row r="56" spans="1:67">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row>
    <row r="57" spans="1:6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row>
    <row r="58" spans="1:67">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row>
    <row r="59" spans="1:67">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row>
    <row r="60" spans="1:67">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row>
    <row r="61" spans="1:67">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row>
    <row r="62" spans="1:67">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row>
    <row r="63" spans="1:67">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row>
    <row r="64" spans="1:67">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row>
    <row r="65" spans="1:67">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row>
    <row r="66" spans="1:67">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row>
    <row r="67" spans="1: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row>
    <row r="68" spans="1:67">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row>
    <row r="69" spans="1:67">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row>
    <row r="70" spans="1:67">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row>
    <row r="71" spans="1:67">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row>
    <row r="72" spans="1:67">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row>
    <row r="73" spans="1:67">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row>
    <row r="74" spans="1:67">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row>
    <row r="75" spans="1:67">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row>
    <row r="76" spans="1:67">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row>
    <row r="77" spans="1:6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row>
    <row r="78" spans="1:67">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row>
    <row r="79" spans="1:67">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row>
    <row r="80" spans="1:67">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row>
    <row r="81" spans="1:67">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row>
    <row r="82" spans="1:67">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row>
    <row r="83" spans="1:67">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row>
    <row r="84" spans="1:67">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row>
    <row r="85" spans="1:67">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row>
  </sheetData>
  <hyperlinks>
    <hyperlink ref="B1" location="Index!A1" display="Index" xr:uid="{B6FE785B-1BE3-4F33-BE25-DD95C49FDB24}"/>
  </hyperlinks>
  <pageMargins left="0.25" right="0.25" top="0.75" bottom="0.75" header="0.3" footer="0.3"/>
  <pageSetup paperSize="9" scale="64" orientation="portrait" r:id="rId1"/>
  <headerFooter alignWithMargins="0"/>
  <customProperties>
    <customPr name="_pios_id" r:id="rId2"/>
    <customPr name="EpmWorksheetKeyString_GUID" r:id="rId3"/>
  </customProperties>
  <ignoredErrors>
    <ignoredError sqref="AZ25 AZ39 BG39" formula="1"/>
  </ignoredErrors>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9C230-266E-4BB0-A765-7141851B85A8}">
  <sheetPr codeName="Sheet3">
    <pageSetUpPr fitToPage="1"/>
  </sheetPr>
  <dimension ref="B1:BR72"/>
  <sheetViews>
    <sheetView showGridLines="0" zoomScaleNormal="100" workbookViewId="0">
      <pane xSplit="2" ySplit="5" topLeftCell="BJ6" activePane="bottomRight" state="frozen"/>
      <selection pane="topRight" activeCell="BT1" sqref="BT1"/>
      <selection pane="bottomLeft" activeCell="BT1" sqref="BT1"/>
      <selection pane="bottomRight" activeCell="B1" sqref="B1"/>
    </sheetView>
  </sheetViews>
  <sheetFormatPr defaultColWidth="9.1796875" defaultRowHeight="12" outlineLevelCol="2"/>
  <cols>
    <col min="1" max="1" width="3.453125" style="16" customWidth="1"/>
    <col min="2" max="2" width="50.81640625" style="16" customWidth="1"/>
    <col min="3" max="6" width="9.81640625" style="16" hidden="1" customWidth="1" outlineLevel="2"/>
    <col min="7" max="7" width="9.81640625" style="16" hidden="1" customWidth="1" outlineLevel="1"/>
    <col min="8" max="11" width="9.81640625" style="16" hidden="1" customWidth="1" outlineLevel="2"/>
    <col min="12" max="12" width="9.81640625" style="16" hidden="1" customWidth="1" outlineLevel="1"/>
    <col min="13" max="16" width="9.81640625" style="16" hidden="1" customWidth="1" outlineLevel="2"/>
    <col min="17" max="17" width="9.81640625" style="16" hidden="1" customWidth="1" outlineLevel="1"/>
    <col min="18" max="21" width="9.81640625" style="16" hidden="1" customWidth="1" outlineLevel="2"/>
    <col min="22" max="22" width="9.81640625" style="16" hidden="1" customWidth="1" outlineLevel="1"/>
    <col min="23" max="26" width="9.81640625" style="16" hidden="1" customWidth="1" outlineLevel="2"/>
    <col min="27" max="27" width="9.81640625" style="16" hidden="1" customWidth="1" outlineLevel="1"/>
    <col min="28" max="31" width="9.81640625" style="16" hidden="1" customWidth="1" outlineLevel="2"/>
    <col min="32" max="36" width="9.81640625" style="16" hidden="1" customWidth="1" outlineLevel="1"/>
    <col min="37" max="37" width="9.81640625" style="16" customWidth="1" collapsed="1"/>
    <col min="38" max="41" width="9.81640625" style="16" hidden="1" customWidth="1" outlineLevel="1"/>
    <col min="42" max="42" width="9.81640625" style="16" customWidth="1" collapsed="1"/>
    <col min="43" max="46" width="9.81640625" style="16" hidden="1" customWidth="1" outlineLevel="1"/>
    <col min="47" max="47" width="9.81640625" style="16" customWidth="1" collapsed="1"/>
    <col min="48" max="51" width="9.81640625" style="16" hidden="1" customWidth="1" outlineLevel="1"/>
    <col min="52" max="52" width="9.81640625" style="16" customWidth="1" collapsed="1"/>
    <col min="53" max="56" width="9.81640625" style="16" hidden="1" customWidth="1" outlineLevel="1"/>
    <col min="57" max="57" width="9.81640625" style="16" customWidth="1" collapsed="1"/>
    <col min="58" max="61" width="9.81640625" style="16" hidden="1" customWidth="1" outlineLevel="1"/>
    <col min="62" max="62" width="9.81640625" style="16" customWidth="1" collapsed="1"/>
    <col min="63" max="66" width="9.81640625" style="16" customWidth="1" outlineLevel="1"/>
    <col min="67" max="67" width="9.81640625" style="16" customWidth="1"/>
    <col min="68" max="16384" width="9.1796875" style="16"/>
  </cols>
  <sheetData>
    <row r="1" spans="2:70">
      <c r="B1" s="398" t="s">
        <v>8</v>
      </c>
    </row>
    <row r="3" spans="2:70" ht="15.5">
      <c r="B3" s="395" t="s">
        <v>9</v>
      </c>
    </row>
    <row r="4" spans="2:70" ht="15.5">
      <c r="B4" s="395" t="s">
        <v>104</v>
      </c>
      <c r="C4" s="128"/>
      <c r="D4" s="128"/>
      <c r="E4" s="128"/>
      <c r="F4" s="128"/>
      <c r="H4" s="128"/>
      <c r="I4" s="128"/>
      <c r="J4" s="128"/>
      <c r="K4" s="128"/>
      <c r="M4" s="128"/>
      <c r="N4" s="128"/>
      <c r="O4" s="128"/>
      <c r="P4" s="128"/>
      <c r="R4" s="128"/>
      <c r="S4" s="128"/>
      <c r="T4" s="128"/>
      <c r="U4" s="128"/>
      <c r="W4" s="128"/>
      <c r="X4" s="128"/>
      <c r="Y4" s="128"/>
      <c r="Z4" s="128"/>
      <c r="AB4" s="128"/>
      <c r="AC4" s="128"/>
      <c r="AD4" s="128"/>
      <c r="AE4" s="128"/>
      <c r="AG4" s="128"/>
      <c r="AH4" s="128"/>
      <c r="AI4" s="128"/>
      <c r="AJ4" s="128"/>
      <c r="AL4" s="128"/>
      <c r="AM4" s="128"/>
      <c r="AN4" s="128"/>
      <c r="AO4" s="128"/>
      <c r="AQ4" s="128"/>
      <c r="AR4" s="128"/>
      <c r="AS4" s="128"/>
      <c r="AT4" s="128"/>
      <c r="AV4" s="128"/>
      <c r="AW4" s="128"/>
      <c r="AX4" s="128"/>
      <c r="AY4" s="128"/>
      <c r="BA4" s="128"/>
      <c r="BB4" s="128"/>
      <c r="BC4" s="128"/>
      <c r="BD4" s="128"/>
      <c r="BF4" s="128"/>
      <c r="BG4" s="128"/>
      <c r="BH4" s="128"/>
      <c r="BI4" s="128"/>
      <c r="BK4" s="128"/>
      <c r="BL4" s="128"/>
      <c r="BM4" s="128"/>
      <c r="BN4" s="128"/>
    </row>
    <row r="5" spans="2:70" s="191" customFormat="1">
      <c r="B5" s="186" t="s">
        <v>105</v>
      </c>
      <c r="C5" s="196" t="s">
        <v>12</v>
      </c>
      <c r="D5" s="196" t="s">
        <v>13</v>
      </c>
      <c r="E5" s="196" t="s">
        <v>14</v>
      </c>
      <c r="F5" s="196" t="s">
        <v>15</v>
      </c>
      <c r="G5" s="197" t="s">
        <v>16</v>
      </c>
      <c r="H5" s="196" t="s">
        <v>17</v>
      </c>
      <c r="I5" s="196" t="s">
        <v>18</v>
      </c>
      <c r="J5" s="196" t="s">
        <v>19</v>
      </c>
      <c r="K5" s="196" t="s">
        <v>20</v>
      </c>
      <c r="L5" s="197" t="s">
        <v>21</v>
      </c>
      <c r="M5" s="196" t="s">
        <v>22</v>
      </c>
      <c r="N5" s="196" t="s">
        <v>23</v>
      </c>
      <c r="O5" s="196" t="s">
        <v>24</v>
      </c>
      <c r="P5" s="196" t="s">
        <v>25</v>
      </c>
      <c r="Q5" s="197" t="s">
        <v>26</v>
      </c>
      <c r="R5" s="196" t="s">
        <v>27</v>
      </c>
      <c r="S5" s="196" t="s">
        <v>28</v>
      </c>
      <c r="T5" s="196" t="s">
        <v>29</v>
      </c>
      <c r="U5" s="196" t="s">
        <v>30</v>
      </c>
      <c r="V5" s="197" t="s">
        <v>31</v>
      </c>
      <c r="W5" s="187" t="s">
        <v>32</v>
      </c>
      <c r="X5" s="187" t="s">
        <v>33</v>
      </c>
      <c r="Y5" s="187" t="s">
        <v>34</v>
      </c>
      <c r="Z5" s="187" t="s">
        <v>35</v>
      </c>
      <c r="AA5" s="188" t="s">
        <v>36</v>
      </c>
      <c r="AB5" s="187" t="s">
        <v>37</v>
      </c>
      <c r="AC5" s="187" t="s">
        <v>38</v>
      </c>
      <c r="AD5" s="187" t="s">
        <v>39</v>
      </c>
      <c r="AE5" s="187" t="s">
        <v>40</v>
      </c>
      <c r="AF5" s="188" t="s">
        <v>41</v>
      </c>
      <c r="AG5" s="187" t="s">
        <v>42</v>
      </c>
      <c r="AH5" s="187" t="s">
        <v>43</v>
      </c>
      <c r="AI5" s="187" t="s">
        <v>44</v>
      </c>
      <c r="AJ5" s="187" t="s">
        <v>45</v>
      </c>
      <c r="AK5" s="188" t="s">
        <v>46</v>
      </c>
      <c r="AL5" s="187" t="s">
        <v>47</v>
      </c>
      <c r="AM5" s="187" t="s">
        <v>48</v>
      </c>
      <c r="AN5" s="187" t="s">
        <v>49</v>
      </c>
      <c r="AO5" s="187" t="s">
        <v>50</v>
      </c>
      <c r="AP5" s="188" t="s">
        <v>51</v>
      </c>
      <c r="AQ5" s="187" t="s">
        <v>52</v>
      </c>
      <c r="AR5" s="187" t="s">
        <v>53</v>
      </c>
      <c r="AS5" s="187" t="s">
        <v>54</v>
      </c>
      <c r="AT5" s="187" t="s">
        <v>55</v>
      </c>
      <c r="AU5" s="188" t="s">
        <v>56</v>
      </c>
      <c r="AV5" s="187" t="s">
        <v>57</v>
      </c>
      <c r="AW5" s="187" t="s">
        <v>58</v>
      </c>
      <c r="AX5" s="187" t="s">
        <v>59</v>
      </c>
      <c r="AY5" s="187" t="s">
        <v>60</v>
      </c>
      <c r="AZ5" s="188" t="s">
        <v>61</v>
      </c>
      <c r="BA5" s="187" t="s">
        <v>62</v>
      </c>
      <c r="BB5" s="187" t="s">
        <v>63</v>
      </c>
      <c r="BC5" s="187" t="s">
        <v>64</v>
      </c>
      <c r="BD5" s="187" t="s">
        <v>65</v>
      </c>
      <c r="BE5" s="188" t="s">
        <v>66</v>
      </c>
      <c r="BF5" s="187" t="s">
        <v>67</v>
      </c>
      <c r="BG5" s="187" t="s">
        <v>68</v>
      </c>
      <c r="BH5" s="187" t="s">
        <v>69</v>
      </c>
      <c r="BI5" s="187" t="s">
        <v>70</v>
      </c>
      <c r="BJ5" s="188" t="s">
        <v>106</v>
      </c>
      <c r="BK5" s="187" t="s">
        <v>480</v>
      </c>
      <c r="BL5" s="187" t="s">
        <v>481</v>
      </c>
      <c r="BM5" s="187" t="s">
        <v>482</v>
      </c>
      <c r="BN5" s="187" t="s">
        <v>483</v>
      </c>
      <c r="BO5" s="188" t="s">
        <v>485</v>
      </c>
    </row>
    <row r="6" spans="2:70" ht="13">
      <c r="B6" s="102" t="s">
        <v>107</v>
      </c>
      <c r="C6" s="128"/>
      <c r="D6" s="128"/>
      <c r="E6" s="128"/>
      <c r="F6" s="128"/>
      <c r="G6" s="129"/>
      <c r="H6" s="128"/>
      <c r="I6" s="128"/>
      <c r="J6" s="128"/>
      <c r="K6" s="128"/>
      <c r="L6" s="129"/>
      <c r="M6" s="128"/>
      <c r="N6" s="128"/>
      <c r="O6" s="128"/>
      <c r="P6" s="128"/>
      <c r="Q6" s="129"/>
      <c r="R6" s="128"/>
      <c r="S6" s="128"/>
      <c r="T6" s="128"/>
      <c r="U6" s="128"/>
      <c r="V6" s="129"/>
      <c r="W6" s="128"/>
      <c r="X6" s="128"/>
      <c r="Y6" s="128"/>
      <c r="Z6" s="128"/>
      <c r="AA6" s="129"/>
      <c r="AB6" s="128"/>
      <c r="AC6" s="128"/>
      <c r="AD6" s="128"/>
      <c r="AE6" s="128"/>
      <c r="AF6" s="129"/>
      <c r="AG6" s="128"/>
      <c r="AH6" s="128"/>
      <c r="AI6" s="128"/>
      <c r="AJ6" s="128"/>
      <c r="AK6" s="129"/>
      <c r="AL6" s="128"/>
      <c r="AM6" s="128"/>
      <c r="AN6" s="128"/>
      <c r="AO6" s="128"/>
      <c r="AP6" s="129"/>
      <c r="AQ6" s="128"/>
      <c r="AR6" s="128"/>
      <c r="AS6" s="128"/>
      <c r="AT6" s="128"/>
      <c r="AU6" s="129"/>
      <c r="AV6" s="128"/>
      <c r="AW6" s="128"/>
      <c r="AX6" s="128"/>
      <c r="AY6" s="128"/>
      <c r="AZ6" s="129"/>
      <c r="BA6" s="128"/>
      <c r="BB6" s="128"/>
      <c r="BC6" s="128"/>
      <c r="BD6" s="128"/>
      <c r="BE6" s="129"/>
      <c r="BF6" s="128"/>
      <c r="BG6" s="128"/>
      <c r="BH6" s="128"/>
      <c r="BI6" s="128"/>
      <c r="BJ6" s="129"/>
      <c r="BK6" s="128"/>
      <c r="BL6" s="128"/>
      <c r="BM6" s="128"/>
      <c r="BN6" s="128"/>
      <c r="BO6" s="129"/>
      <c r="BQ6" s="470"/>
      <c r="BR6" s="84"/>
    </row>
    <row r="7" spans="2:70" ht="13">
      <c r="B7" s="102" t="s">
        <v>108</v>
      </c>
      <c r="C7" s="128"/>
      <c r="D7" s="128"/>
      <c r="E7" s="128"/>
      <c r="F7" s="128"/>
      <c r="G7" s="129"/>
      <c r="H7" s="128"/>
      <c r="I7" s="128"/>
      <c r="J7" s="128"/>
      <c r="K7" s="128"/>
      <c r="L7" s="129"/>
      <c r="M7" s="128"/>
      <c r="N7" s="128"/>
      <c r="O7" s="128"/>
      <c r="P7" s="128"/>
      <c r="Q7" s="129"/>
      <c r="R7" s="128"/>
      <c r="S7" s="128"/>
      <c r="T7" s="128"/>
      <c r="U7" s="128"/>
      <c r="V7" s="129"/>
      <c r="W7" s="128"/>
      <c r="X7" s="128"/>
      <c r="Y7" s="128"/>
      <c r="Z7" s="128"/>
      <c r="AA7" s="129"/>
      <c r="AB7" s="128"/>
      <c r="AC7" s="128"/>
      <c r="AD7" s="128"/>
      <c r="AE7" s="128"/>
      <c r="AF7" s="129"/>
      <c r="AG7" s="128"/>
      <c r="AH7" s="128"/>
      <c r="AI7" s="128"/>
      <c r="AJ7" s="128"/>
      <c r="AK7" s="129"/>
      <c r="AL7" s="128"/>
      <c r="AM7" s="128"/>
      <c r="AN7" s="128"/>
      <c r="AO7" s="128"/>
      <c r="AP7" s="129"/>
      <c r="AQ7" s="128"/>
      <c r="AR7" s="128"/>
      <c r="AS7" s="128"/>
      <c r="AT7" s="128"/>
      <c r="AU7" s="129"/>
      <c r="AV7" s="128"/>
      <c r="AW7" s="128"/>
      <c r="AX7" s="128"/>
      <c r="AY7" s="128"/>
      <c r="AZ7" s="129"/>
      <c r="BA7" s="128"/>
      <c r="BB7" s="128"/>
      <c r="BC7" s="128"/>
      <c r="BD7" s="128"/>
      <c r="BE7" s="129"/>
      <c r="BF7" s="128"/>
      <c r="BG7" s="128"/>
      <c r="BH7" s="128"/>
      <c r="BI7" s="128"/>
      <c r="BJ7" s="129"/>
      <c r="BK7" s="128"/>
      <c r="BL7" s="128"/>
      <c r="BM7" s="128"/>
      <c r="BN7" s="128"/>
      <c r="BO7" s="129"/>
      <c r="BQ7" s="470"/>
      <c r="BR7" s="84"/>
    </row>
    <row r="8" spans="2:70" ht="13">
      <c r="B8" s="103" t="s">
        <v>109</v>
      </c>
      <c r="C8" s="128">
        <v>25059</v>
      </c>
      <c r="D8" s="128">
        <v>28432</v>
      </c>
      <c r="E8" s="128">
        <v>32023</v>
      </c>
      <c r="F8" s="128">
        <v>30367</v>
      </c>
      <c r="G8" s="129">
        <v>30367</v>
      </c>
      <c r="H8" s="128">
        <v>28142</v>
      </c>
      <c r="I8" s="128">
        <v>29946</v>
      </c>
      <c r="J8" s="128">
        <v>29476</v>
      </c>
      <c r="K8" s="128">
        <v>32697</v>
      </c>
      <c r="L8" s="129">
        <v>32697</v>
      </c>
      <c r="M8" s="128">
        <v>31050</v>
      </c>
      <c r="N8" s="128">
        <v>31732</v>
      </c>
      <c r="O8" s="128">
        <v>26113</v>
      </c>
      <c r="P8" s="128">
        <v>22625</v>
      </c>
      <c r="Q8" s="129">
        <v>22625</v>
      </c>
      <c r="R8" s="128">
        <v>23117</v>
      </c>
      <c r="S8" s="128">
        <v>23339</v>
      </c>
      <c r="T8" s="128">
        <v>20611</v>
      </c>
      <c r="U8" s="128">
        <v>19818</v>
      </c>
      <c r="V8" s="129">
        <v>19818</v>
      </c>
      <c r="W8" s="128">
        <v>16506</v>
      </c>
      <c r="X8" s="128">
        <v>17851</v>
      </c>
      <c r="Y8" s="128">
        <v>16448</v>
      </c>
      <c r="Z8" s="128">
        <v>19568</v>
      </c>
      <c r="AA8" s="129">
        <v>19568</v>
      </c>
      <c r="AB8" s="128">
        <v>15642</v>
      </c>
      <c r="AC8" s="128">
        <v>16473</v>
      </c>
      <c r="AD8" s="128">
        <v>17288</v>
      </c>
      <c r="AE8" s="128">
        <v>18649</v>
      </c>
      <c r="AF8" s="129">
        <v>18649</v>
      </c>
      <c r="AG8" s="128">
        <f>18993+4046</f>
        <v>23039</v>
      </c>
      <c r="AH8" s="128">
        <v>22411</v>
      </c>
      <c r="AI8" s="128">
        <v>22079</v>
      </c>
      <c r="AJ8" s="128">
        <v>24714</v>
      </c>
      <c r="AK8" s="129">
        <f t="shared" ref="AK8:AK16" si="0">AJ8</f>
        <v>24714</v>
      </c>
      <c r="AL8" s="128">
        <v>21339</v>
      </c>
      <c r="AM8" s="128">
        <v>18056</v>
      </c>
      <c r="AN8" s="128">
        <v>15943</v>
      </c>
      <c r="AO8" s="128">
        <v>17472</v>
      </c>
      <c r="AP8" s="129">
        <f>AO8</f>
        <v>17472</v>
      </c>
      <c r="AQ8" s="128">
        <v>13982</v>
      </c>
      <c r="AR8" s="128">
        <v>14869</v>
      </c>
      <c r="AS8" s="128">
        <v>11587</v>
      </c>
      <c r="AT8" s="128">
        <v>12173</v>
      </c>
      <c r="AU8" s="129">
        <f>AT8</f>
        <v>12173</v>
      </c>
      <c r="AV8" s="128">
        <f>12310+7262</f>
        <v>19572</v>
      </c>
      <c r="AW8" s="128">
        <v>15713</v>
      </c>
      <c r="AX8" s="128">
        <v>13645</v>
      </c>
      <c r="AY8" s="128">
        <v>14786</v>
      </c>
      <c r="AZ8" s="129">
        <f>AY8</f>
        <v>14786</v>
      </c>
      <c r="BA8" s="128">
        <f>16432+11625</f>
        <v>28057</v>
      </c>
      <c r="BB8" s="128">
        <v>21799</v>
      </c>
      <c r="BC8" s="128">
        <v>22804</v>
      </c>
      <c r="BD8" s="128">
        <v>24455</v>
      </c>
      <c r="BE8" s="129">
        <f>BD8</f>
        <v>24455</v>
      </c>
      <c r="BF8" s="128">
        <v>27459</v>
      </c>
      <c r="BG8" s="128">
        <v>31832</v>
      </c>
      <c r="BH8" s="128">
        <v>19915</v>
      </c>
      <c r="BI8" s="128">
        <v>22201</v>
      </c>
      <c r="BJ8" s="129">
        <f>BI8</f>
        <v>22201</v>
      </c>
      <c r="BK8" s="128">
        <v>21645</v>
      </c>
      <c r="BL8" s="128">
        <v>24350</v>
      </c>
      <c r="BM8" s="128"/>
      <c r="BN8" s="128"/>
      <c r="BO8" s="129">
        <f>BL8</f>
        <v>24350</v>
      </c>
      <c r="BQ8" s="470"/>
      <c r="BR8" s="84"/>
    </row>
    <row r="9" spans="2:70" ht="13">
      <c r="B9" s="103" t="s">
        <v>110</v>
      </c>
      <c r="C9" s="128">
        <v>2810</v>
      </c>
      <c r="D9" s="128">
        <v>3771</v>
      </c>
      <c r="E9" s="128">
        <v>1509</v>
      </c>
      <c r="F9" s="128">
        <v>874</v>
      </c>
      <c r="G9" s="129">
        <v>874</v>
      </c>
      <c r="H9" s="128">
        <v>736</v>
      </c>
      <c r="I9" s="128">
        <v>582</v>
      </c>
      <c r="J9" s="128">
        <v>451</v>
      </c>
      <c r="K9" s="128">
        <v>75</v>
      </c>
      <c r="L9" s="129">
        <v>75</v>
      </c>
      <c r="M9" s="128">
        <v>563</v>
      </c>
      <c r="N9" s="128">
        <v>2154</v>
      </c>
      <c r="O9" s="128">
        <v>4367</v>
      </c>
      <c r="P9" s="128">
        <v>9970</v>
      </c>
      <c r="Q9" s="129">
        <v>9970</v>
      </c>
      <c r="R9" s="128">
        <v>10388</v>
      </c>
      <c r="S9" s="128">
        <v>12122</v>
      </c>
      <c r="T9" s="128">
        <v>2481</v>
      </c>
      <c r="U9" s="128">
        <v>6407</v>
      </c>
      <c r="V9" s="129">
        <v>6407</v>
      </c>
      <c r="W9" s="128">
        <v>6876</v>
      </c>
      <c r="X9" s="128">
        <v>7580</v>
      </c>
      <c r="Y9" s="128">
        <v>9819</v>
      </c>
      <c r="Z9" s="128">
        <v>6627</v>
      </c>
      <c r="AA9" s="129">
        <v>6627</v>
      </c>
      <c r="AB9" s="128">
        <v>5373</v>
      </c>
      <c r="AC9" s="128">
        <v>3518</v>
      </c>
      <c r="AD9" s="128">
        <v>3078</v>
      </c>
      <c r="AE9" s="128">
        <v>4655</v>
      </c>
      <c r="AF9" s="129">
        <v>4655</v>
      </c>
      <c r="AG9" s="128">
        <v>2805</v>
      </c>
      <c r="AH9" s="128">
        <v>3600</v>
      </c>
      <c r="AI9" s="128">
        <v>3318</v>
      </c>
      <c r="AJ9" s="128">
        <v>2342</v>
      </c>
      <c r="AK9" s="129">
        <f t="shared" si="0"/>
        <v>2342</v>
      </c>
      <c r="AL9" s="128">
        <v>4664</v>
      </c>
      <c r="AM9" s="128">
        <v>4983</v>
      </c>
      <c r="AN9" s="128">
        <v>4147</v>
      </c>
      <c r="AO9" s="128">
        <v>6673</v>
      </c>
      <c r="AP9" s="129">
        <f t="shared" ref="AP9:AP16" si="1">AO9</f>
        <v>6673</v>
      </c>
      <c r="AQ9" s="128">
        <v>8111</v>
      </c>
      <c r="AR9" s="128">
        <v>11778</v>
      </c>
      <c r="AS9" s="128">
        <v>8730</v>
      </c>
      <c r="AT9" s="128">
        <v>6909</v>
      </c>
      <c r="AU9" s="129">
        <f t="shared" ref="AU9:AU67" si="2">AT9</f>
        <v>6909</v>
      </c>
      <c r="AV9" s="128">
        <v>5536</v>
      </c>
      <c r="AW9" s="128">
        <v>7579</v>
      </c>
      <c r="AX9" s="128">
        <v>7974</v>
      </c>
      <c r="AY9" s="128">
        <v>12915</v>
      </c>
      <c r="AZ9" s="129">
        <f t="shared" ref="AZ9:AZ15" si="3">AY9</f>
        <v>12915</v>
      </c>
      <c r="BA9" s="128">
        <v>8762</v>
      </c>
      <c r="BB9" s="128">
        <v>7432</v>
      </c>
      <c r="BC9" s="128">
        <v>7985</v>
      </c>
      <c r="BD9" s="128">
        <v>12482</v>
      </c>
      <c r="BE9" s="129">
        <f t="shared" ref="BE9:BE15" si="4">BD9</f>
        <v>12482</v>
      </c>
      <c r="BF9" s="128">
        <v>7606</v>
      </c>
      <c r="BG9" s="128">
        <v>12606</v>
      </c>
      <c r="BH9" s="128">
        <v>6911</v>
      </c>
      <c r="BI9" s="128">
        <v>12950</v>
      </c>
      <c r="BJ9" s="129">
        <f t="shared" ref="BJ9:BJ67" si="5">BI9</f>
        <v>12950</v>
      </c>
      <c r="BK9" s="128">
        <v>7924</v>
      </c>
      <c r="BL9" s="128">
        <v>13761</v>
      </c>
      <c r="BM9" s="128"/>
      <c r="BN9" s="128"/>
      <c r="BO9" s="129">
        <f t="shared" ref="BO9:BO67" si="6">BL9</f>
        <v>13761</v>
      </c>
      <c r="BQ9" s="470"/>
      <c r="BR9" s="84"/>
    </row>
    <row r="10" spans="2:70" ht="13">
      <c r="B10" s="103" t="s">
        <v>111</v>
      </c>
      <c r="C10" s="128">
        <v>583</v>
      </c>
      <c r="D10" s="128">
        <v>103</v>
      </c>
      <c r="E10" s="130">
        <v>0</v>
      </c>
      <c r="F10" s="130">
        <v>0</v>
      </c>
      <c r="G10" s="66">
        <v>0</v>
      </c>
      <c r="H10" s="130">
        <v>0</v>
      </c>
      <c r="I10" s="130">
        <v>0</v>
      </c>
      <c r="J10" s="130">
        <v>0</v>
      </c>
      <c r="K10" s="130">
        <v>0</v>
      </c>
      <c r="L10" s="66">
        <v>0</v>
      </c>
      <c r="M10" s="130">
        <v>0</v>
      </c>
      <c r="N10" s="151" t="s">
        <v>112</v>
      </c>
      <c r="O10" s="130">
        <v>0</v>
      </c>
      <c r="P10" s="130">
        <v>0</v>
      </c>
      <c r="Q10" s="152">
        <v>0</v>
      </c>
      <c r="R10" s="130">
        <v>0</v>
      </c>
      <c r="S10" s="130">
        <v>0</v>
      </c>
      <c r="T10" s="130">
        <v>0</v>
      </c>
      <c r="U10" s="130">
        <v>0</v>
      </c>
      <c r="V10" s="152">
        <v>0</v>
      </c>
      <c r="W10" s="130">
        <v>0</v>
      </c>
      <c r="X10" s="130">
        <v>0</v>
      </c>
      <c r="Y10" s="130">
        <v>0</v>
      </c>
      <c r="Z10" s="130">
        <v>0</v>
      </c>
      <c r="AA10" s="152">
        <v>0</v>
      </c>
      <c r="AB10" s="130">
        <v>0</v>
      </c>
      <c r="AC10" s="130">
        <v>0</v>
      </c>
      <c r="AD10" s="130">
        <v>0</v>
      </c>
      <c r="AE10" s="130">
        <v>0</v>
      </c>
      <c r="AF10" s="152">
        <v>0</v>
      </c>
      <c r="AG10" s="130">
        <v>0</v>
      </c>
      <c r="AH10" s="130">
        <v>0</v>
      </c>
      <c r="AI10" s="130">
        <v>0</v>
      </c>
      <c r="AJ10" s="130">
        <v>0</v>
      </c>
      <c r="AK10" s="152">
        <f t="shared" si="0"/>
        <v>0</v>
      </c>
      <c r="AL10" s="130">
        <v>0</v>
      </c>
      <c r="AM10" s="130">
        <v>0</v>
      </c>
      <c r="AN10" s="130">
        <v>0</v>
      </c>
      <c r="AO10" s="130">
        <v>0</v>
      </c>
      <c r="AP10" s="152">
        <f t="shared" si="1"/>
        <v>0</v>
      </c>
      <c r="AQ10" s="130">
        <v>0</v>
      </c>
      <c r="AR10" s="130">
        <v>0</v>
      </c>
      <c r="AS10" s="130">
        <v>0</v>
      </c>
      <c r="AT10" s="130">
        <v>0</v>
      </c>
      <c r="AU10" s="152">
        <f t="shared" si="2"/>
        <v>0</v>
      </c>
      <c r="AV10" s="42">
        <v>0</v>
      </c>
      <c r="AW10" s="130">
        <v>0</v>
      </c>
      <c r="AX10" s="130">
        <v>0</v>
      </c>
      <c r="AY10" s="130">
        <v>0</v>
      </c>
      <c r="AZ10" s="152">
        <f t="shared" si="3"/>
        <v>0</v>
      </c>
      <c r="BA10" s="42">
        <v>0</v>
      </c>
      <c r="BB10" s="130">
        <v>0</v>
      </c>
      <c r="BC10" s="130">
        <v>0</v>
      </c>
      <c r="BD10" s="130">
        <v>0</v>
      </c>
      <c r="BE10" s="66">
        <f>BD10</f>
        <v>0</v>
      </c>
      <c r="BF10" s="42">
        <v>0</v>
      </c>
      <c r="BG10" s="130">
        <v>0</v>
      </c>
      <c r="BH10" s="130">
        <v>0</v>
      </c>
      <c r="BI10" s="130">
        <v>0</v>
      </c>
      <c r="BJ10" s="66">
        <f t="shared" si="5"/>
        <v>0</v>
      </c>
      <c r="BK10" s="42">
        <v>0</v>
      </c>
      <c r="BL10" s="130">
        <v>0</v>
      </c>
      <c r="BM10" s="130"/>
      <c r="BN10" s="130"/>
      <c r="BO10" s="66">
        <f t="shared" si="6"/>
        <v>0</v>
      </c>
      <c r="BQ10" s="470"/>
      <c r="BR10" s="84"/>
    </row>
    <row r="11" spans="2:70" ht="13">
      <c r="B11" s="103" t="s">
        <v>113</v>
      </c>
      <c r="C11" s="128">
        <v>9171</v>
      </c>
      <c r="D11" s="128">
        <v>9040</v>
      </c>
      <c r="E11" s="128">
        <v>9061</v>
      </c>
      <c r="F11" s="128">
        <v>9713</v>
      </c>
      <c r="G11" s="129">
        <v>9713</v>
      </c>
      <c r="H11" s="128">
        <v>10548</v>
      </c>
      <c r="I11" s="128">
        <v>10397</v>
      </c>
      <c r="J11" s="128">
        <v>10857</v>
      </c>
      <c r="K11" s="128">
        <v>11330</v>
      </c>
      <c r="L11" s="129">
        <v>11330</v>
      </c>
      <c r="M11" s="128">
        <v>11893</v>
      </c>
      <c r="N11" s="128">
        <v>11571</v>
      </c>
      <c r="O11" s="128">
        <v>12942</v>
      </c>
      <c r="P11" s="128">
        <v>12322</v>
      </c>
      <c r="Q11" s="129">
        <v>12322</v>
      </c>
      <c r="R11" s="128">
        <v>12488</v>
      </c>
      <c r="S11" s="128">
        <v>13423</v>
      </c>
      <c r="T11" s="128">
        <v>13143</v>
      </c>
      <c r="U11" s="128">
        <v>13142</v>
      </c>
      <c r="V11" s="129">
        <v>13142</v>
      </c>
      <c r="W11" s="128">
        <v>13699</v>
      </c>
      <c r="X11" s="128">
        <v>14781</v>
      </c>
      <c r="Y11" s="128">
        <v>14861</v>
      </c>
      <c r="Z11" s="128">
        <v>14827</v>
      </c>
      <c r="AA11" s="129">
        <v>14827</v>
      </c>
      <c r="AB11" s="128">
        <v>15803</v>
      </c>
      <c r="AC11" s="128">
        <v>16055</v>
      </c>
      <c r="AD11" s="128">
        <v>18055</v>
      </c>
      <c r="AE11" s="128">
        <v>18487</v>
      </c>
      <c r="AF11" s="129">
        <v>18487</v>
      </c>
      <c r="AG11" s="128">
        <v>18778</v>
      </c>
      <c r="AH11" s="128">
        <v>17930</v>
      </c>
      <c r="AI11" s="128">
        <v>19213</v>
      </c>
      <c r="AJ11" s="128">
        <v>19294</v>
      </c>
      <c r="AK11" s="129">
        <f t="shared" si="0"/>
        <v>19294</v>
      </c>
      <c r="AL11" s="128">
        <v>20421</v>
      </c>
      <c r="AM11" s="128">
        <v>20121</v>
      </c>
      <c r="AN11" s="128">
        <v>22569</v>
      </c>
      <c r="AO11" s="128">
        <v>22698</v>
      </c>
      <c r="AP11" s="129">
        <f t="shared" si="1"/>
        <v>22698</v>
      </c>
      <c r="AQ11" s="128">
        <v>23038</v>
      </c>
      <c r="AR11" s="128">
        <v>25397</v>
      </c>
      <c r="AS11" s="128">
        <v>27660</v>
      </c>
      <c r="AT11" s="128">
        <v>25424</v>
      </c>
      <c r="AU11" s="129">
        <f t="shared" si="2"/>
        <v>25424</v>
      </c>
      <c r="AV11" s="128">
        <v>26183</v>
      </c>
      <c r="AW11" s="128">
        <v>28261</v>
      </c>
      <c r="AX11" s="128">
        <v>30618</v>
      </c>
      <c r="AY11" s="128">
        <v>30193</v>
      </c>
      <c r="AZ11" s="129">
        <f t="shared" si="3"/>
        <v>30193</v>
      </c>
      <c r="BA11" s="128">
        <v>30930</v>
      </c>
      <c r="BB11" s="128">
        <v>32013</v>
      </c>
      <c r="BC11" s="128">
        <v>33358</v>
      </c>
      <c r="BD11" s="128">
        <v>31158</v>
      </c>
      <c r="BE11" s="129">
        <f t="shared" si="4"/>
        <v>31158</v>
      </c>
      <c r="BF11" s="128">
        <v>32414</v>
      </c>
      <c r="BG11" s="128">
        <v>33968</v>
      </c>
      <c r="BH11" s="128">
        <v>36131</v>
      </c>
      <c r="BI11" s="128">
        <v>35234</v>
      </c>
      <c r="BJ11" s="129">
        <f t="shared" si="5"/>
        <v>35234</v>
      </c>
      <c r="BK11" s="128">
        <v>33781</v>
      </c>
      <c r="BL11" s="128">
        <v>34821</v>
      </c>
      <c r="BM11" s="128"/>
      <c r="BN11" s="128"/>
      <c r="BO11" s="129">
        <f t="shared" si="6"/>
        <v>34821</v>
      </c>
      <c r="BQ11" s="470"/>
      <c r="BR11" s="84"/>
    </row>
    <row r="12" spans="2:70" ht="13">
      <c r="B12" s="103" t="s">
        <v>114</v>
      </c>
      <c r="C12" s="128">
        <v>2965</v>
      </c>
      <c r="D12" s="128">
        <v>2948</v>
      </c>
      <c r="E12" s="128">
        <v>2929</v>
      </c>
      <c r="F12" s="128">
        <v>2845</v>
      </c>
      <c r="G12" s="129">
        <v>2845</v>
      </c>
      <c r="H12" s="128">
        <v>2953</v>
      </c>
      <c r="I12" s="128">
        <v>3441</v>
      </c>
      <c r="J12" s="128">
        <v>2976</v>
      </c>
      <c r="K12" s="128">
        <v>3029</v>
      </c>
      <c r="L12" s="129">
        <v>3029</v>
      </c>
      <c r="M12" s="128">
        <v>3270</v>
      </c>
      <c r="N12" s="128">
        <v>3892</v>
      </c>
      <c r="O12" s="128">
        <v>3413</v>
      </c>
      <c r="P12" s="128">
        <v>3648</v>
      </c>
      <c r="Q12" s="129">
        <v>3648</v>
      </c>
      <c r="R12" s="128">
        <v>3945</v>
      </c>
      <c r="S12" s="128">
        <v>4136</v>
      </c>
      <c r="T12" s="128">
        <v>3663</v>
      </c>
      <c r="U12" s="128">
        <v>4261</v>
      </c>
      <c r="V12" s="129">
        <v>4261</v>
      </c>
      <c r="W12" s="128">
        <v>4655</v>
      </c>
      <c r="X12" s="128">
        <v>5187</v>
      </c>
      <c r="Y12" s="128">
        <v>4799</v>
      </c>
      <c r="Z12" s="128">
        <v>5374</v>
      </c>
      <c r="AA12" s="129">
        <v>5374</v>
      </c>
      <c r="AB12" s="128">
        <v>6655</v>
      </c>
      <c r="AC12" s="128">
        <v>7269</v>
      </c>
      <c r="AD12" s="128">
        <v>6525</v>
      </c>
      <c r="AE12" s="128">
        <v>7121</v>
      </c>
      <c r="AF12" s="129">
        <v>7121</v>
      </c>
      <c r="AG12" s="128">
        <v>7166</v>
      </c>
      <c r="AH12" s="128">
        <v>7596</v>
      </c>
      <c r="AI12" s="128">
        <v>7669</v>
      </c>
      <c r="AJ12" s="128">
        <v>7527</v>
      </c>
      <c r="AK12" s="129">
        <f t="shared" si="0"/>
        <v>7527</v>
      </c>
      <c r="AL12" s="128">
        <v>8456</v>
      </c>
      <c r="AM12" s="128">
        <v>9413</v>
      </c>
      <c r="AN12" s="128">
        <v>9853</v>
      </c>
      <c r="AO12" s="128">
        <v>11568</v>
      </c>
      <c r="AP12" s="129">
        <f t="shared" si="1"/>
        <v>11568</v>
      </c>
      <c r="AQ12" s="128">
        <v>13499</v>
      </c>
      <c r="AR12" s="128">
        <v>13303</v>
      </c>
      <c r="AS12" s="128">
        <v>13139</v>
      </c>
      <c r="AT12" s="128">
        <v>15289</v>
      </c>
      <c r="AU12" s="129">
        <f t="shared" si="2"/>
        <v>15289</v>
      </c>
      <c r="AV12" s="128">
        <v>14628</v>
      </c>
      <c r="AW12" s="128">
        <v>14054</v>
      </c>
      <c r="AX12" s="128">
        <v>13227</v>
      </c>
      <c r="AY12" s="128">
        <v>12768</v>
      </c>
      <c r="AZ12" s="129">
        <f t="shared" si="3"/>
        <v>12768</v>
      </c>
      <c r="BA12" s="128">
        <v>12601</v>
      </c>
      <c r="BB12" s="128">
        <v>13066</v>
      </c>
      <c r="BC12" s="128">
        <v>11283</v>
      </c>
      <c r="BD12" s="128">
        <v>12851</v>
      </c>
      <c r="BE12" s="129">
        <f t="shared" si="4"/>
        <v>12851</v>
      </c>
      <c r="BF12" s="128">
        <v>13617</v>
      </c>
      <c r="BG12" s="128">
        <v>14313</v>
      </c>
      <c r="BH12" s="128">
        <v>13276</v>
      </c>
      <c r="BI12" s="128">
        <v>15483</v>
      </c>
      <c r="BJ12" s="129">
        <f t="shared" si="5"/>
        <v>15483</v>
      </c>
      <c r="BK12" s="128">
        <v>16649</v>
      </c>
      <c r="BL12" s="128">
        <v>16609</v>
      </c>
      <c r="BM12" s="128"/>
      <c r="BN12" s="128"/>
      <c r="BO12" s="129">
        <f t="shared" si="6"/>
        <v>16609</v>
      </c>
      <c r="BQ12" s="470"/>
      <c r="BR12" s="84"/>
    </row>
    <row r="13" spans="2:70" ht="13">
      <c r="B13" s="103" t="s">
        <v>115</v>
      </c>
      <c r="C13" s="89">
        <v>0</v>
      </c>
      <c r="D13" s="89">
        <v>0</v>
      </c>
      <c r="E13" s="89">
        <v>0</v>
      </c>
      <c r="F13" s="89">
        <v>0</v>
      </c>
      <c r="G13" s="28">
        <v>0</v>
      </c>
      <c r="H13" s="89">
        <v>0</v>
      </c>
      <c r="I13" s="89">
        <v>0</v>
      </c>
      <c r="J13" s="89">
        <v>0</v>
      </c>
      <c r="K13" s="89">
        <v>0</v>
      </c>
      <c r="L13" s="28">
        <v>0</v>
      </c>
      <c r="M13" s="89">
        <v>0</v>
      </c>
      <c r="N13" s="89">
        <v>0</v>
      </c>
      <c r="O13" s="89">
        <v>0</v>
      </c>
      <c r="P13" s="89">
        <v>0</v>
      </c>
      <c r="Q13" s="28">
        <v>0</v>
      </c>
      <c r="R13" s="89">
        <v>0</v>
      </c>
      <c r="S13" s="89">
        <v>0</v>
      </c>
      <c r="T13" s="89">
        <v>0</v>
      </c>
      <c r="U13" s="89">
        <v>0</v>
      </c>
      <c r="V13" s="28">
        <v>0</v>
      </c>
      <c r="W13" s="89">
        <v>0</v>
      </c>
      <c r="X13" s="89">
        <v>0</v>
      </c>
      <c r="Y13" s="89">
        <v>0</v>
      </c>
      <c r="Z13" s="89">
        <v>0</v>
      </c>
      <c r="AA13" s="28">
        <v>0</v>
      </c>
      <c r="AB13" s="89">
        <v>0</v>
      </c>
      <c r="AC13" s="89">
        <v>0</v>
      </c>
      <c r="AD13" s="89">
        <v>0</v>
      </c>
      <c r="AE13" s="89">
        <v>0</v>
      </c>
      <c r="AF13" s="28">
        <v>0</v>
      </c>
      <c r="AG13" s="89">
        <v>0</v>
      </c>
      <c r="AH13" s="89">
        <v>0</v>
      </c>
      <c r="AI13" s="89">
        <v>0</v>
      </c>
      <c r="AJ13" s="89">
        <v>0</v>
      </c>
      <c r="AK13" s="28">
        <f t="shared" si="0"/>
        <v>0</v>
      </c>
      <c r="AL13" s="89">
        <v>0</v>
      </c>
      <c r="AM13" s="89">
        <v>0</v>
      </c>
      <c r="AN13" s="89">
        <v>0</v>
      </c>
      <c r="AO13" s="89">
        <v>0</v>
      </c>
      <c r="AP13" s="28">
        <f t="shared" si="1"/>
        <v>0</v>
      </c>
      <c r="AQ13" s="89">
        <v>0</v>
      </c>
      <c r="AR13" s="89">
        <v>0</v>
      </c>
      <c r="AS13" s="89">
        <v>0</v>
      </c>
      <c r="AT13" s="89">
        <v>0</v>
      </c>
      <c r="AU13" s="28">
        <f t="shared" si="2"/>
        <v>0</v>
      </c>
      <c r="AV13" s="89">
        <v>0</v>
      </c>
      <c r="AW13" s="89">
        <v>0</v>
      </c>
      <c r="AX13" s="89">
        <v>0</v>
      </c>
      <c r="AY13" s="89">
        <v>0</v>
      </c>
      <c r="AZ13" s="28">
        <f>AY13</f>
        <v>0</v>
      </c>
      <c r="BA13" s="89">
        <v>0</v>
      </c>
      <c r="BB13" s="89">
        <v>0</v>
      </c>
      <c r="BC13" s="89">
        <v>0</v>
      </c>
      <c r="BD13" s="89">
        <v>0</v>
      </c>
      <c r="BE13" s="66">
        <f>BD13</f>
        <v>0</v>
      </c>
      <c r="BF13" s="89">
        <v>0</v>
      </c>
      <c r="BG13" s="89">
        <v>0</v>
      </c>
      <c r="BH13" s="89">
        <v>0</v>
      </c>
      <c r="BI13" s="89">
        <v>0</v>
      </c>
      <c r="BJ13" s="66">
        <f t="shared" si="5"/>
        <v>0</v>
      </c>
      <c r="BK13" s="89">
        <v>0</v>
      </c>
      <c r="BL13" s="89">
        <v>0</v>
      </c>
      <c r="BM13" s="89"/>
      <c r="BN13" s="89"/>
      <c r="BO13" s="66">
        <f t="shared" si="6"/>
        <v>0</v>
      </c>
      <c r="BQ13" s="470"/>
      <c r="BR13" s="84"/>
    </row>
    <row r="14" spans="2:70" ht="13">
      <c r="B14" s="103" t="s">
        <v>116</v>
      </c>
      <c r="C14" s="128">
        <v>95</v>
      </c>
      <c r="D14" s="128">
        <v>45</v>
      </c>
      <c r="E14" s="128">
        <v>29</v>
      </c>
      <c r="F14" s="128">
        <v>101</v>
      </c>
      <c r="G14" s="129">
        <v>101</v>
      </c>
      <c r="H14" s="128">
        <v>41</v>
      </c>
      <c r="I14" s="128">
        <v>29</v>
      </c>
      <c r="J14" s="128">
        <v>54</v>
      </c>
      <c r="K14" s="128">
        <v>116</v>
      </c>
      <c r="L14" s="129">
        <v>116</v>
      </c>
      <c r="M14" s="128">
        <v>60</v>
      </c>
      <c r="N14" s="128">
        <v>89</v>
      </c>
      <c r="O14" s="128">
        <v>103</v>
      </c>
      <c r="P14" s="128">
        <v>284</v>
      </c>
      <c r="Q14" s="129">
        <v>284</v>
      </c>
      <c r="R14" s="128">
        <v>24</v>
      </c>
      <c r="S14" s="128">
        <v>9</v>
      </c>
      <c r="T14" s="128">
        <v>84</v>
      </c>
      <c r="U14" s="128">
        <v>16</v>
      </c>
      <c r="V14" s="129">
        <v>16</v>
      </c>
      <c r="W14" s="128">
        <v>36</v>
      </c>
      <c r="X14" s="128">
        <v>21</v>
      </c>
      <c r="Y14" s="128">
        <v>418</v>
      </c>
      <c r="Z14" s="128">
        <v>336</v>
      </c>
      <c r="AA14" s="129">
        <v>336</v>
      </c>
      <c r="AB14" s="128">
        <v>178</v>
      </c>
      <c r="AC14" s="128">
        <v>108</v>
      </c>
      <c r="AD14" s="128">
        <v>36</v>
      </c>
      <c r="AE14" s="128">
        <v>62</v>
      </c>
      <c r="AF14" s="129">
        <v>62</v>
      </c>
      <c r="AG14" s="128">
        <v>88</v>
      </c>
      <c r="AH14" s="128">
        <v>257</v>
      </c>
      <c r="AI14" s="128">
        <v>168</v>
      </c>
      <c r="AJ14" s="128">
        <v>188</v>
      </c>
      <c r="AK14" s="129">
        <f t="shared" si="0"/>
        <v>188</v>
      </c>
      <c r="AL14" s="128">
        <v>64</v>
      </c>
      <c r="AM14" s="128">
        <v>122</v>
      </c>
      <c r="AN14" s="128">
        <v>213</v>
      </c>
      <c r="AO14" s="128">
        <v>143</v>
      </c>
      <c r="AP14" s="129">
        <f t="shared" si="1"/>
        <v>143</v>
      </c>
      <c r="AQ14" s="128">
        <v>99</v>
      </c>
      <c r="AR14" s="128">
        <v>102</v>
      </c>
      <c r="AS14" s="128">
        <v>87</v>
      </c>
      <c r="AT14" s="128">
        <v>101</v>
      </c>
      <c r="AU14" s="129">
        <f t="shared" si="2"/>
        <v>101</v>
      </c>
      <c r="AV14" s="128">
        <v>171</v>
      </c>
      <c r="AW14" s="128">
        <v>171</v>
      </c>
      <c r="AX14" s="128">
        <v>75</v>
      </c>
      <c r="AY14" s="128">
        <v>84</v>
      </c>
      <c r="AZ14" s="129">
        <f t="shared" si="3"/>
        <v>84</v>
      </c>
      <c r="BA14" s="128">
        <v>86</v>
      </c>
      <c r="BB14" s="128">
        <v>65</v>
      </c>
      <c r="BC14" s="128">
        <v>236</v>
      </c>
      <c r="BD14" s="128">
        <v>192</v>
      </c>
      <c r="BE14" s="129">
        <f t="shared" si="4"/>
        <v>192</v>
      </c>
      <c r="BF14" s="128">
        <v>69</v>
      </c>
      <c r="BG14" s="128">
        <v>36</v>
      </c>
      <c r="BH14" s="128">
        <v>49</v>
      </c>
      <c r="BI14" s="128">
        <v>83</v>
      </c>
      <c r="BJ14" s="129">
        <f t="shared" si="5"/>
        <v>83</v>
      </c>
      <c r="BK14" s="128">
        <v>393</v>
      </c>
      <c r="BL14" s="128">
        <v>193</v>
      </c>
      <c r="BM14" s="128"/>
      <c r="BN14" s="128"/>
      <c r="BO14" s="129">
        <f t="shared" si="6"/>
        <v>193</v>
      </c>
      <c r="BQ14" s="470"/>
      <c r="BR14" s="84"/>
    </row>
    <row r="15" spans="2:70" ht="13">
      <c r="B15" s="103" t="s">
        <v>117</v>
      </c>
      <c r="C15" s="89">
        <v>0</v>
      </c>
      <c r="D15" s="89">
        <v>0</v>
      </c>
      <c r="E15" s="89">
        <v>0</v>
      </c>
      <c r="F15" s="89">
        <v>0</v>
      </c>
      <c r="G15" s="28">
        <v>0</v>
      </c>
      <c r="H15" s="89">
        <v>0</v>
      </c>
      <c r="I15" s="89">
        <v>0</v>
      </c>
      <c r="J15" s="89">
        <v>0</v>
      </c>
      <c r="K15" s="89">
        <v>0</v>
      </c>
      <c r="L15" s="28">
        <v>0</v>
      </c>
      <c r="M15" s="89">
        <v>0</v>
      </c>
      <c r="N15" s="89">
        <v>0</v>
      </c>
      <c r="O15" s="89">
        <v>0</v>
      </c>
      <c r="P15" s="89">
        <v>0</v>
      </c>
      <c r="Q15" s="28">
        <v>0</v>
      </c>
      <c r="R15" s="89">
        <v>0</v>
      </c>
      <c r="S15" s="89">
        <v>0</v>
      </c>
      <c r="T15" s="89">
        <v>537</v>
      </c>
      <c r="U15" s="89">
        <v>0</v>
      </c>
      <c r="V15" s="28">
        <v>0</v>
      </c>
      <c r="W15" s="89">
        <v>0</v>
      </c>
      <c r="X15" s="89">
        <v>0</v>
      </c>
      <c r="Y15" s="89">
        <v>0</v>
      </c>
      <c r="Z15" s="89">
        <v>423</v>
      </c>
      <c r="AA15" s="28">
        <v>423</v>
      </c>
      <c r="AB15" s="89">
        <v>259</v>
      </c>
      <c r="AC15" s="89">
        <v>34</v>
      </c>
      <c r="AD15" s="89">
        <v>7</v>
      </c>
      <c r="AE15" s="89">
        <v>7</v>
      </c>
      <c r="AF15" s="28">
        <v>7</v>
      </c>
      <c r="AG15" s="89">
        <v>7</v>
      </c>
      <c r="AH15" s="89">
        <v>0</v>
      </c>
      <c r="AI15" s="89">
        <v>0</v>
      </c>
      <c r="AJ15" s="89">
        <v>0</v>
      </c>
      <c r="AK15" s="28">
        <f t="shared" si="0"/>
        <v>0</v>
      </c>
      <c r="AL15" s="89">
        <v>0</v>
      </c>
      <c r="AM15" s="89">
        <v>0</v>
      </c>
      <c r="AN15" s="89">
        <v>0</v>
      </c>
      <c r="AO15" s="89">
        <v>54</v>
      </c>
      <c r="AP15" s="28">
        <f t="shared" si="1"/>
        <v>54</v>
      </c>
      <c r="AQ15" s="89">
        <v>0</v>
      </c>
      <c r="AR15" s="89">
        <v>0</v>
      </c>
      <c r="AS15" s="89">
        <v>0</v>
      </c>
      <c r="AT15" s="89">
        <v>6</v>
      </c>
      <c r="AU15" s="28">
        <f t="shared" si="2"/>
        <v>6</v>
      </c>
      <c r="AV15" s="89">
        <v>11</v>
      </c>
      <c r="AW15" s="89">
        <v>42</v>
      </c>
      <c r="AX15" s="89">
        <v>173</v>
      </c>
      <c r="AY15" s="89">
        <v>6397</v>
      </c>
      <c r="AZ15" s="129">
        <f t="shared" si="3"/>
        <v>6397</v>
      </c>
      <c r="BA15" s="89">
        <v>3032</v>
      </c>
      <c r="BB15" s="89">
        <v>2418</v>
      </c>
      <c r="BC15" s="89">
        <v>26</v>
      </c>
      <c r="BD15" s="89">
        <v>2975</v>
      </c>
      <c r="BE15" s="129">
        <f t="shared" si="4"/>
        <v>2975</v>
      </c>
      <c r="BF15" s="89">
        <v>2974</v>
      </c>
      <c r="BG15" s="89">
        <v>26</v>
      </c>
      <c r="BH15" s="89">
        <v>29</v>
      </c>
      <c r="BI15" s="89">
        <v>1835</v>
      </c>
      <c r="BJ15" s="129">
        <f t="shared" si="5"/>
        <v>1835</v>
      </c>
      <c r="BK15" s="89">
        <v>1839</v>
      </c>
      <c r="BL15" s="89">
        <v>38</v>
      </c>
      <c r="BM15" s="89"/>
      <c r="BN15" s="89"/>
      <c r="BO15" s="129">
        <f t="shared" si="6"/>
        <v>38</v>
      </c>
      <c r="BQ15" s="470"/>
      <c r="BR15" s="84"/>
    </row>
    <row r="16" spans="2:70" ht="14.5">
      <c r="B16" s="103" t="s">
        <v>118</v>
      </c>
      <c r="C16" s="209">
        <v>2909</v>
      </c>
      <c r="D16" s="209">
        <v>2761</v>
      </c>
      <c r="E16" s="209">
        <v>2761</v>
      </c>
      <c r="F16" s="209">
        <v>3296</v>
      </c>
      <c r="G16" s="105">
        <v>3296</v>
      </c>
      <c r="H16" s="209">
        <v>4010</v>
      </c>
      <c r="I16" s="209">
        <v>4684</v>
      </c>
      <c r="J16" s="209">
        <v>4939</v>
      </c>
      <c r="K16" s="209">
        <v>4448</v>
      </c>
      <c r="L16" s="105">
        <v>4448</v>
      </c>
      <c r="M16" s="209">
        <v>5437</v>
      </c>
      <c r="N16" s="209">
        <v>5171</v>
      </c>
      <c r="O16" s="209">
        <v>5457</v>
      </c>
      <c r="P16" s="209">
        <v>4856</v>
      </c>
      <c r="Q16" s="105">
        <v>4856</v>
      </c>
      <c r="R16" s="209">
        <v>5312</v>
      </c>
      <c r="S16" s="209">
        <v>5206</v>
      </c>
      <c r="T16" s="209">
        <v>5694</v>
      </c>
      <c r="U16" s="209">
        <v>4313</v>
      </c>
      <c r="V16" s="105">
        <v>4313</v>
      </c>
      <c r="W16" s="209">
        <v>4841</v>
      </c>
      <c r="X16" s="209">
        <v>4795</v>
      </c>
      <c r="Y16" s="209">
        <v>5417</v>
      </c>
      <c r="Z16" s="209">
        <v>5723</v>
      </c>
      <c r="AA16" s="105">
        <v>5723</v>
      </c>
      <c r="AB16" s="209">
        <v>5874</v>
      </c>
      <c r="AC16" s="209">
        <v>5392</v>
      </c>
      <c r="AD16" s="209">
        <v>5851</v>
      </c>
      <c r="AE16" s="209">
        <v>5595</v>
      </c>
      <c r="AF16" s="105">
        <v>5595</v>
      </c>
      <c r="AG16" s="209">
        <v>6434</v>
      </c>
      <c r="AH16" s="209">
        <v>5531</v>
      </c>
      <c r="AI16" s="209">
        <v>5915</v>
      </c>
      <c r="AJ16" s="209">
        <v>6668</v>
      </c>
      <c r="AK16" s="105">
        <f t="shared" si="0"/>
        <v>6668</v>
      </c>
      <c r="AL16" s="209">
        <v>6848</v>
      </c>
      <c r="AM16" s="209">
        <v>7313</v>
      </c>
      <c r="AN16" s="209">
        <v>7885</v>
      </c>
      <c r="AO16" s="209">
        <v>8577</v>
      </c>
      <c r="AP16" s="105">
        <f t="shared" si="1"/>
        <v>8577</v>
      </c>
      <c r="AQ16" s="209">
        <v>9835</v>
      </c>
      <c r="AR16" s="209">
        <v>9482</v>
      </c>
      <c r="AS16" s="209">
        <v>11213</v>
      </c>
      <c r="AT16" s="209">
        <v>10979</v>
      </c>
      <c r="AU16" s="105">
        <f t="shared" si="2"/>
        <v>10979</v>
      </c>
      <c r="AV16" s="209">
        <v>11373</v>
      </c>
      <c r="AW16" s="209">
        <v>11247</v>
      </c>
      <c r="AX16" s="209">
        <v>11609</v>
      </c>
      <c r="AY16" s="209">
        <v>12289</v>
      </c>
      <c r="AZ16" s="105">
        <f>AY16</f>
        <v>12289</v>
      </c>
      <c r="BA16" s="209">
        <v>12587</v>
      </c>
      <c r="BB16" s="209">
        <v>12738</v>
      </c>
      <c r="BC16" s="209">
        <v>11963</v>
      </c>
      <c r="BD16" s="209">
        <v>12986</v>
      </c>
      <c r="BE16" s="105">
        <f>BD16</f>
        <v>12986</v>
      </c>
      <c r="BF16" s="209">
        <v>12279</v>
      </c>
      <c r="BG16" s="209">
        <v>12986</v>
      </c>
      <c r="BH16" s="209">
        <v>14147</v>
      </c>
      <c r="BI16" s="209">
        <v>15703</v>
      </c>
      <c r="BJ16" s="105">
        <f t="shared" si="5"/>
        <v>15703</v>
      </c>
      <c r="BK16" s="209">
        <v>16263</v>
      </c>
      <c r="BL16" s="209">
        <v>15979</v>
      </c>
      <c r="BM16" s="209"/>
      <c r="BN16" s="209"/>
      <c r="BO16" s="105">
        <f t="shared" si="6"/>
        <v>15979</v>
      </c>
      <c r="BQ16" s="470"/>
      <c r="BR16" s="84"/>
    </row>
    <row r="17" spans="2:70" ht="13">
      <c r="B17" s="103"/>
      <c r="C17" s="19">
        <f t="shared" ref="C17:V17" si="7">SUM(C8:C16)</f>
        <v>43592</v>
      </c>
      <c r="D17" s="19">
        <f t="shared" si="7"/>
        <v>47100</v>
      </c>
      <c r="E17" s="19">
        <f t="shared" si="7"/>
        <v>48312</v>
      </c>
      <c r="F17" s="19">
        <f t="shared" si="7"/>
        <v>47196</v>
      </c>
      <c r="G17" s="28">
        <f t="shared" si="7"/>
        <v>47196</v>
      </c>
      <c r="H17" s="19">
        <f t="shared" si="7"/>
        <v>46430</v>
      </c>
      <c r="I17" s="19">
        <f t="shared" si="7"/>
        <v>49079</v>
      </c>
      <c r="J17" s="19">
        <f t="shared" si="7"/>
        <v>48753</v>
      </c>
      <c r="K17" s="19">
        <f t="shared" si="7"/>
        <v>51695</v>
      </c>
      <c r="L17" s="28">
        <f t="shared" si="7"/>
        <v>51695</v>
      </c>
      <c r="M17" s="19">
        <f t="shared" si="7"/>
        <v>52273</v>
      </c>
      <c r="N17" s="19">
        <f t="shared" si="7"/>
        <v>54609</v>
      </c>
      <c r="O17" s="19">
        <f t="shared" si="7"/>
        <v>52395</v>
      </c>
      <c r="P17" s="19">
        <f t="shared" si="7"/>
        <v>53705</v>
      </c>
      <c r="Q17" s="28">
        <f t="shared" si="7"/>
        <v>53705</v>
      </c>
      <c r="R17" s="19">
        <f t="shared" si="7"/>
        <v>55274</v>
      </c>
      <c r="S17" s="19">
        <f t="shared" si="7"/>
        <v>58235</v>
      </c>
      <c r="T17" s="19">
        <f t="shared" si="7"/>
        <v>46213</v>
      </c>
      <c r="U17" s="19">
        <f t="shared" si="7"/>
        <v>47957</v>
      </c>
      <c r="V17" s="28">
        <f t="shared" si="7"/>
        <v>47957</v>
      </c>
      <c r="W17" s="19">
        <f t="shared" ref="W17:AT17" si="8">SUM(W8:W16)</f>
        <v>46613</v>
      </c>
      <c r="X17" s="19">
        <f t="shared" si="8"/>
        <v>50215</v>
      </c>
      <c r="Y17" s="19">
        <f t="shared" si="8"/>
        <v>51762</v>
      </c>
      <c r="Z17" s="19">
        <f t="shared" si="8"/>
        <v>52878</v>
      </c>
      <c r="AA17" s="28">
        <f t="shared" si="8"/>
        <v>52878</v>
      </c>
      <c r="AB17" s="19">
        <f t="shared" si="8"/>
        <v>49784</v>
      </c>
      <c r="AC17" s="19">
        <f t="shared" si="8"/>
        <v>48849</v>
      </c>
      <c r="AD17" s="19">
        <f t="shared" si="8"/>
        <v>50840</v>
      </c>
      <c r="AE17" s="19">
        <f t="shared" si="8"/>
        <v>54576</v>
      </c>
      <c r="AF17" s="28">
        <f t="shared" si="8"/>
        <v>54576</v>
      </c>
      <c r="AG17" s="19">
        <f t="shared" si="8"/>
        <v>58317</v>
      </c>
      <c r="AH17" s="19">
        <f t="shared" si="8"/>
        <v>57325</v>
      </c>
      <c r="AI17" s="19">
        <f t="shared" si="8"/>
        <v>58362</v>
      </c>
      <c r="AJ17" s="19">
        <f t="shared" si="8"/>
        <v>60733</v>
      </c>
      <c r="AK17" s="28">
        <f t="shared" si="8"/>
        <v>60733</v>
      </c>
      <c r="AL17" s="19">
        <f t="shared" si="8"/>
        <v>61792</v>
      </c>
      <c r="AM17" s="19">
        <f t="shared" si="8"/>
        <v>60008</v>
      </c>
      <c r="AN17" s="19">
        <f t="shared" si="8"/>
        <v>60610</v>
      </c>
      <c r="AO17" s="19">
        <f t="shared" si="8"/>
        <v>67185</v>
      </c>
      <c r="AP17" s="28">
        <f t="shared" si="8"/>
        <v>67185</v>
      </c>
      <c r="AQ17" s="19">
        <f t="shared" si="8"/>
        <v>68564</v>
      </c>
      <c r="AR17" s="19">
        <f t="shared" si="8"/>
        <v>74931</v>
      </c>
      <c r="AS17" s="19">
        <f t="shared" si="8"/>
        <v>72416</v>
      </c>
      <c r="AT17" s="19">
        <f t="shared" si="8"/>
        <v>70881</v>
      </c>
      <c r="AU17" s="28">
        <f t="shared" si="2"/>
        <v>70881</v>
      </c>
      <c r="AV17" s="19">
        <f>SUM(AV8:AV16)</f>
        <v>77474</v>
      </c>
      <c r="AW17" s="19">
        <f>SUM(AW8:AW16)</f>
        <v>77067</v>
      </c>
      <c r="AX17" s="19">
        <f>SUM(AX8:AX16)</f>
        <v>77321</v>
      </c>
      <c r="AY17" s="19">
        <f>SUM(AY8:AY16)</f>
        <v>89432</v>
      </c>
      <c r="AZ17" s="28">
        <f>AY17</f>
        <v>89432</v>
      </c>
      <c r="BA17" s="19">
        <f>SUM(BA8:BA16)</f>
        <v>96055</v>
      </c>
      <c r="BB17" s="19">
        <f>SUM(BB8:BB16)</f>
        <v>89531</v>
      </c>
      <c r="BC17" s="19">
        <f>SUM(BC8:BC16)</f>
        <v>87655</v>
      </c>
      <c r="BD17" s="19">
        <f>SUM(BD8:BD16)</f>
        <v>97099</v>
      </c>
      <c r="BE17" s="28">
        <f>BD17</f>
        <v>97099</v>
      </c>
      <c r="BF17" s="19">
        <f>SUM(BF8:BF16)</f>
        <v>96418</v>
      </c>
      <c r="BG17" s="19">
        <f>SUM(BG8:BG16)</f>
        <v>105767</v>
      </c>
      <c r="BH17" s="19">
        <f>SUM(BH8:BH16)</f>
        <v>90458</v>
      </c>
      <c r="BI17" s="19">
        <f>SUM(BI8:BI16)</f>
        <v>103489</v>
      </c>
      <c r="BJ17" s="28">
        <f t="shared" si="5"/>
        <v>103489</v>
      </c>
      <c r="BK17" s="19">
        <f>SUM(BK8:BK16)</f>
        <v>98494</v>
      </c>
      <c r="BL17" s="19">
        <f>SUM(BL8:BL16)</f>
        <v>105751</v>
      </c>
      <c r="BM17" s="19"/>
      <c r="BN17" s="19"/>
      <c r="BO17" s="28">
        <f t="shared" si="6"/>
        <v>105751</v>
      </c>
      <c r="BQ17" s="470"/>
      <c r="BR17" s="84"/>
    </row>
    <row r="18" spans="2:70" ht="14.5">
      <c r="B18" s="103" t="s">
        <v>119</v>
      </c>
      <c r="C18" s="150">
        <v>0</v>
      </c>
      <c r="D18" s="150">
        <v>0</v>
      </c>
      <c r="E18" s="150">
        <v>0</v>
      </c>
      <c r="F18" s="150">
        <v>0</v>
      </c>
      <c r="G18" s="105">
        <v>0</v>
      </c>
      <c r="H18" s="150">
        <v>0</v>
      </c>
      <c r="I18" s="150">
        <v>0</v>
      </c>
      <c r="J18" s="150">
        <v>0</v>
      </c>
      <c r="K18" s="150">
        <v>0</v>
      </c>
      <c r="L18" s="105">
        <v>0</v>
      </c>
      <c r="M18" s="150">
        <v>0</v>
      </c>
      <c r="N18" s="150">
        <v>0</v>
      </c>
      <c r="O18" s="150">
        <v>0</v>
      </c>
      <c r="P18" s="150">
        <v>0</v>
      </c>
      <c r="Q18" s="105">
        <v>0</v>
      </c>
      <c r="R18" s="150">
        <v>0</v>
      </c>
      <c r="S18" s="150">
        <v>0</v>
      </c>
      <c r="T18" s="150">
        <v>0</v>
      </c>
      <c r="U18" s="150">
        <v>2060</v>
      </c>
      <c r="V18" s="105">
        <v>2060</v>
      </c>
      <c r="W18" s="150">
        <v>1867</v>
      </c>
      <c r="X18" s="150">
        <v>1958</v>
      </c>
      <c r="Y18" s="150">
        <v>0</v>
      </c>
      <c r="Z18" s="150">
        <v>0</v>
      </c>
      <c r="AA18" s="105">
        <v>0</v>
      </c>
      <c r="AB18" s="150">
        <v>0</v>
      </c>
      <c r="AC18" s="150">
        <v>0</v>
      </c>
      <c r="AD18" s="150">
        <v>0</v>
      </c>
      <c r="AE18" s="150">
        <v>0</v>
      </c>
      <c r="AF18" s="105">
        <v>0</v>
      </c>
      <c r="AG18" s="150">
        <v>0</v>
      </c>
      <c r="AH18" s="150">
        <v>0</v>
      </c>
      <c r="AI18" s="150">
        <v>0</v>
      </c>
      <c r="AJ18" s="150">
        <v>0</v>
      </c>
      <c r="AK18" s="105">
        <f>AJ18</f>
        <v>0</v>
      </c>
      <c r="AL18" s="150">
        <v>0</v>
      </c>
      <c r="AM18" s="150">
        <v>0</v>
      </c>
      <c r="AN18" s="150">
        <v>0</v>
      </c>
      <c r="AO18" s="150">
        <v>0</v>
      </c>
      <c r="AP18" s="105">
        <f>AO18</f>
        <v>0</v>
      </c>
      <c r="AQ18" s="150">
        <v>0</v>
      </c>
      <c r="AR18" s="150">
        <v>0</v>
      </c>
      <c r="AS18" s="150">
        <v>0</v>
      </c>
      <c r="AT18" s="150">
        <v>0</v>
      </c>
      <c r="AU18" s="105">
        <f t="shared" si="2"/>
        <v>0</v>
      </c>
      <c r="AV18" s="150">
        <v>0</v>
      </c>
      <c r="AW18" s="150">
        <v>0</v>
      </c>
      <c r="AX18" s="150">
        <v>0</v>
      </c>
      <c r="AY18" s="150">
        <v>0</v>
      </c>
      <c r="AZ18" s="105">
        <f>AY18</f>
        <v>0</v>
      </c>
      <c r="BA18" s="150">
        <v>0</v>
      </c>
      <c r="BB18" s="150">
        <v>0</v>
      </c>
      <c r="BC18" s="150">
        <v>0</v>
      </c>
      <c r="BD18" s="150">
        <v>0</v>
      </c>
      <c r="BE18" s="105">
        <f>BD18</f>
        <v>0</v>
      </c>
      <c r="BF18" s="150">
        <v>0</v>
      </c>
      <c r="BG18" s="150">
        <v>0</v>
      </c>
      <c r="BH18" s="150">
        <v>0</v>
      </c>
      <c r="BI18" s="150">
        <v>0</v>
      </c>
      <c r="BJ18" s="105">
        <f t="shared" si="5"/>
        <v>0</v>
      </c>
      <c r="BK18" s="150">
        <v>0</v>
      </c>
      <c r="BL18" s="150">
        <v>0</v>
      </c>
      <c r="BM18" s="150"/>
      <c r="BN18" s="150"/>
      <c r="BO18" s="105">
        <f t="shared" si="6"/>
        <v>0</v>
      </c>
      <c r="BQ18" s="470"/>
      <c r="BR18" s="84"/>
    </row>
    <row r="19" spans="2:70" ht="13">
      <c r="B19" s="102" t="s">
        <v>120</v>
      </c>
      <c r="C19" s="131">
        <f t="shared" ref="C19:V19" si="9">C18+C17</f>
        <v>43592</v>
      </c>
      <c r="D19" s="131">
        <f t="shared" si="9"/>
        <v>47100</v>
      </c>
      <c r="E19" s="131">
        <f t="shared" si="9"/>
        <v>48312</v>
      </c>
      <c r="F19" s="131">
        <f t="shared" si="9"/>
        <v>47196</v>
      </c>
      <c r="G19" s="132">
        <f t="shared" si="9"/>
        <v>47196</v>
      </c>
      <c r="H19" s="131">
        <f t="shared" si="9"/>
        <v>46430</v>
      </c>
      <c r="I19" s="131">
        <f t="shared" si="9"/>
        <v>49079</v>
      </c>
      <c r="J19" s="131">
        <f t="shared" si="9"/>
        <v>48753</v>
      </c>
      <c r="K19" s="131">
        <f t="shared" si="9"/>
        <v>51695</v>
      </c>
      <c r="L19" s="132">
        <f t="shared" si="9"/>
        <v>51695</v>
      </c>
      <c r="M19" s="131">
        <f t="shared" si="9"/>
        <v>52273</v>
      </c>
      <c r="N19" s="131">
        <f t="shared" si="9"/>
        <v>54609</v>
      </c>
      <c r="O19" s="131">
        <f t="shared" si="9"/>
        <v>52395</v>
      </c>
      <c r="P19" s="131">
        <f t="shared" si="9"/>
        <v>53705</v>
      </c>
      <c r="Q19" s="132">
        <f t="shared" si="9"/>
        <v>53705</v>
      </c>
      <c r="R19" s="131">
        <f t="shared" si="9"/>
        <v>55274</v>
      </c>
      <c r="S19" s="131">
        <f t="shared" si="9"/>
        <v>58235</v>
      </c>
      <c r="T19" s="131">
        <f t="shared" si="9"/>
        <v>46213</v>
      </c>
      <c r="U19" s="131">
        <f t="shared" si="9"/>
        <v>50017</v>
      </c>
      <c r="V19" s="132">
        <f t="shared" si="9"/>
        <v>50017</v>
      </c>
      <c r="W19" s="131">
        <f t="shared" ref="W19:AT19" si="10">W18+W17</f>
        <v>48480</v>
      </c>
      <c r="X19" s="131">
        <f t="shared" si="10"/>
        <v>52173</v>
      </c>
      <c r="Y19" s="131">
        <f t="shared" si="10"/>
        <v>51762</v>
      </c>
      <c r="Z19" s="131">
        <f t="shared" si="10"/>
        <v>52878</v>
      </c>
      <c r="AA19" s="132">
        <f t="shared" si="10"/>
        <v>52878</v>
      </c>
      <c r="AB19" s="131">
        <f t="shared" si="10"/>
        <v>49784</v>
      </c>
      <c r="AC19" s="131">
        <f t="shared" si="10"/>
        <v>48849</v>
      </c>
      <c r="AD19" s="131">
        <f t="shared" si="10"/>
        <v>50840</v>
      </c>
      <c r="AE19" s="131">
        <f t="shared" si="10"/>
        <v>54576</v>
      </c>
      <c r="AF19" s="132">
        <f t="shared" si="10"/>
        <v>54576</v>
      </c>
      <c r="AG19" s="131">
        <f t="shared" si="10"/>
        <v>58317</v>
      </c>
      <c r="AH19" s="131">
        <f t="shared" si="10"/>
        <v>57325</v>
      </c>
      <c r="AI19" s="131">
        <f t="shared" si="10"/>
        <v>58362</v>
      </c>
      <c r="AJ19" s="131">
        <f t="shared" si="10"/>
        <v>60733</v>
      </c>
      <c r="AK19" s="132">
        <f t="shared" si="10"/>
        <v>60733</v>
      </c>
      <c r="AL19" s="131">
        <f t="shared" si="10"/>
        <v>61792</v>
      </c>
      <c r="AM19" s="131">
        <f t="shared" si="10"/>
        <v>60008</v>
      </c>
      <c r="AN19" s="131">
        <f t="shared" si="10"/>
        <v>60610</v>
      </c>
      <c r="AO19" s="131">
        <f t="shared" si="10"/>
        <v>67185</v>
      </c>
      <c r="AP19" s="132">
        <f t="shared" si="10"/>
        <v>67185</v>
      </c>
      <c r="AQ19" s="131">
        <f t="shared" si="10"/>
        <v>68564</v>
      </c>
      <c r="AR19" s="131">
        <f t="shared" si="10"/>
        <v>74931</v>
      </c>
      <c r="AS19" s="131">
        <f t="shared" si="10"/>
        <v>72416</v>
      </c>
      <c r="AT19" s="131">
        <f t="shared" si="10"/>
        <v>70881</v>
      </c>
      <c r="AU19" s="132">
        <f t="shared" si="2"/>
        <v>70881</v>
      </c>
      <c r="AV19" s="131">
        <f>AV17+AV18</f>
        <v>77474</v>
      </c>
      <c r="AW19" s="131">
        <f>AW17+AW18</f>
        <v>77067</v>
      </c>
      <c r="AX19" s="131">
        <f>AX17+AX18</f>
        <v>77321</v>
      </c>
      <c r="AY19" s="131">
        <f>AY17+AY18</f>
        <v>89432</v>
      </c>
      <c r="AZ19" s="132">
        <f>AY19</f>
        <v>89432</v>
      </c>
      <c r="BA19" s="131">
        <f>BA17+BA18</f>
        <v>96055</v>
      </c>
      <c r="BB19" s="131">
        <f>BB17+BB18</f>
        <v>89531</v>
      </c>
      <c r="BC19" s="131">
        <f>BC17+BC18</f>
        <v>87655</v>
      </c>
      <c r="BD19" s="131">
        <f>BD17+BD18</f>
        <v>97099</v>
      </c>
      <c r="BE19" s="132">
        <f>BD19</f>
        <v>97099</v>
      </c>
      <c r="BF19" s="131">
        <f>BF17+BF18</f>
        <v>96418</v>
      </c>
      <c r="BG19" s="131">
        <f>BG17+BG18</f>
        <v>105767</v>
      </c>
      <c r="BH19" s="131">
        <f>BH17+BH18</f>
        <v>90458</v>
      </c>
      <c r="BI19" s="131">
        <f>BI17+BI18</f>
        <v>103489</v>
      </c>
      <c r="BJ19" s="132">
        <f t="shared" si="5"/>
        <v>103489</v>
      </c>
      <c r="BK19" s="131">
        <f>BK17+BK18</f>
        <v>98494</v>
      </c>
      <c r="BL19" s="131">
        <f>BL17+BL18</f>
        <v>105751</v>
      </c>
      <c r="BM19" s="131"/>
      <c r="BN19" s="131"/>
      <c r="BO19" s="132">
        <f t="shared" si="6"/>
        <v>105751</v>
      </c>
      <c r="BQ19" s="470"/>
      <c r="BR19" s="84"/>
    </row>
    <row r="20" spans="2:70" ht="13">
      <c r="B20" s="102" t="s">
        <v>121</v>
      </c>
      <c r="C20" s="128"/>
      <c r="D20" s="128"/>
      <c r="E20" s="128"/>
      <c r="F20" s="128"/>
      <c r="G20" s="129"/>
      <c r="H20" s="128"/>
      <c r="I20" s="128"/>
      <c r="J20" s="128"/>
      <c r="K20" s="128"/>
      <c r="L20" s="129"/>
      <c r="M20" s="128"/>
      <c r="N20" s="128"/>
      <c r="O20" s="128"/>
      <c r="P20" s="128"/>
      <c r="Q20" s="129"/>
      <c r="R20" s="128"/>
      <c r="S20" s="128"/>
      <c r="T20" s="128"/>
      <c r="U20" s="128"/>
      <c r="V20" s="129"/>
      <c r="W20" s="128"/>
      <c r="X20" s="128"/>
      <c r="Y20" s="128"/>
      <c r="Z20" s="128"/>
      <c r="AA20" s="129"/>
      <c r="AB20" s="128"/>
      <c r="AC20" s="128"/>
      <c r="AD20" s="128"/>
      <c r="AE20" s="128"/>
      <c r="AF20" s="129"/>
      <c r="AG20" s="128"/>
      <c r="AH20" s="128"/>
      <c r="AI20" s="128"/>
      <c r="AJ20" s="128"/>
      <c r="AK20" s="129"/>
      <c r="AL20" s="128"/>
      <c r="AM20" s="128"/>
      <c r="AN20" s="128"/>
      <c r="AO20" s="128"/>
      <c r="AP20" s="129"/>
      <c r="AQ20" s="128"/>
      <c r="AR20" s="128"/>
      <c r="AS20" s="128"/>
      <c r="AT20" s="128"/>
      <c r="AU20" s="129"/>
      <c r="AV20" s="128"/>
      <c r="AW20" s="128"/>
      <c r="AX20" s="128"/>
      <c r="AY20" s="128"/>
      <c r="AZ20" s="129"/>
      <c r="BA20" s="128"/>
      <c r="BB20" s="128"/>
      <c r="BC20" s="128"/>
      <c r="BD20" s="128"/>
      <c r="BE20" s="129"/>
      <c r="BF20" s="128"/>
      <c r="BG20" s="128"/>
      <c r="BH20" s="128"/>
      <c r="BI20" s="128"/>
      <c r="BJ20" s="129"/>
      <c r="BK20" s="128"/>
      <c r="BL20" s="128"/>
      <c r="BM20" s="128"/>
      <c r="BN20" s="128"/>
      <c r="BO20" s="129"/>
      <c r="BQ20" s="470"/>
      <c r="BR20" s="84"/>
    </row>
    <row r="21" spans="2:70" ht="13">
      <c r="B21" s="103" t="s">
        <v>122</v>
      </c>
      <c r="C21" s="128">
        <v>8146</v>
      </c>
      <c r="D21" s="128">
        <v>8398</v>
      </c>
      <c r="E21" s="128">
        <v>8732</v>
      </c>
      <c r="F21" s="128">
        <v>9125</v>
      </c>
      <c r="G21" s="129">
        <v>9125</v>
      </c>
      <c r="H21" s="128">
        <v>9511</v>
      </c>
      <c r="I21" s="128">
        <v>9686</v>
      </c>
      <c r="J21" s="128">
        <v>10039</v>
      </c>
      <c r="K21" s="128">
        <v>10530</v>
      </c>
      <c r="L21" s="129">
        <v>10530</v>
      </c>
      <c r="M21" s="128">
        <v>10965</v>
      </c>
      <c r="N21" s="128">
        <v>11197</v>
      </c>
      <c r="O21" s="128">
        <v>11410</v>
      </c>
      <c r="P21" s="128">
        <v>11716</v>
      </c>
      <c r="Q21" s="129">
        <v>11716</v>
      </c>
      <c r="R21" s="128">
        <v>11848</v>
      </c>
      <c r="S21" s="128">
        <v>11846</v>
      </c>
      <c r="T21" s="128">
        <v>11835</v>
      </c>
      <c r="U21" s="128">
        <v>12143</v>
      </c>
      <c r="V21" s="129">
        <v>12143</v>
      </c>
      <c r="W21" s="128">
        <v>12192</v>
      </c>
      <c r="X21" s="128">
        <v>12376</v>
      </c>
      <c r="Y21" s="128">
        <v>12680</v>
      </c>
      <c r="Z21" s="128">
        <v>13356</v>
      </c>
      <c r="AA21" s="129">
        <v>13356</v>
      </c>
      <c r="AB21" s="128">
        <v>13137</v>
      </c>
      <c r="AC21" s="128">
        <v>13313</v>
      </c>
      <c r="AD21" s="128">
        <v>13538</v>
      </c>
      <c r="AE21" s="128">
        <v>13699</v>
      </c>
      <c r="AF21" s="129">
        <v>13699</v>
      </c>
      <c r="AG21" s="128">
        <v>13777</v>
      </c>
      <c r="AH21" s="128">
        <v>13791</v>
      </c>
      <c r="AI21" s="128">
        <v>13634</v>
      </c>
      <c r="AJ21" s="128">
        <v>13623</v>
      </c>
      <c r="AK21" s="129">
        <f t="shared" ref="AK21:AK32" si="11">AJ21</f>
        <v>13623</v>
      </c>
      <c r="AL21" s="128">
        <v>13560</v>
      </c>
      <c r="AM21" s="128">
        <v>13422</v>
      </c>
      <c r="AN21" s="128">
        <v>13344</v>
      </c>
      <c r="AO21" s="128">
        <v>13579</v>
      </c>
      <c r="AP21" s="129">
        <f t="shared" ref="AP21:AP32" si="12">AO21</f>
        <v>13579</v>
      </c>
      <c r="AQ21" s="128">
        <v>13479</v>
      </c>
      <c r="AR21" s="128">
        <v>13402</v>
      </c>
      <c r="AS21" s="128">
        <v>13417</v>
      </c>
      <c r="AT21" s="128">
        <v>13793</v>
      </c>
      <c r="AU21" s="129">
        <f t="shared" si="2"/>
        <v>13793</v>
      </c>
      <c r="AV21" s="128">
        <v>13438</v>
      </c>
      <c r="AW21" s="128">
        <v>13179</v>
      </c>
      <c r="AX21" s="128">
        <v>12870</v>
      </c>
      <c r="AY21" s="128">
        <v>12818</v>
      </c>
      <c r="AZ21" s="129">
        <f t="shared" ref="AZ21:AZ28" si="13">AY21</f>
        <v>12818</v>
      </c>
      <c r="BA21" s="128">
        <v>12540</v>
      </c>
      <c r="BB21" s="128">
        <v>12456</v>
      </c>
      <c r="BC21" s="128">
        <v>12347</v>
      </c>
      <c r="BD21" s="128">
        <v>12800</v>
      </c>
      <c r="BE21" s="129">
        <f>BD21</f>
        <v>12800</v>
      </c>
      <c r="BF21" s="128">
        <v>12725</v>
      </c>
      <c r="BG21" s="128">
        <v>12892</v>
      </c>
      <c r="BH21" s="128">
        <v>13010</v>
      </c>
      <c r="BI21" s="128">
        <v>13331</v>
      </c>
      <c r="BJ21" s="129">
        <f t="shared" si="5"/>
        <v>13331</v>
      </c>
      <c r="BK21" s="128">
        <v>13443</v>
      </c>
      <c r="BL21" s="128">
        <v>13644</v>
      </c>
      <c r="BM21" s="128"/>
      <c r="BN21" s="128"/>
      <c r="BO21" s="129">
        <f t="shared" si="6"/>
        <v>13644</v>
      </c>
      <c r="BQ21" s="470"/>
      <c r="BR21" s="84"/>
    </row>
    <row r="22" spans="2:70" ht="13">
      <c r="B22" s="103" t="s">
        <v>123</v>
      </c>
      <c r="C22" s="128"/>
      <c r="D22" s="128"/>
      <c r="E22" s="128"/>
      <c r="F22" s="128"/>
      <c r="G22" s="129"/>
      <c r="H22" s="128"/>
      <c r="I22" s="128"/>
      <c r="J22" s="128"/>
      <c r="K22" s="128"/>
      <c r="L22" s="129"/>
      <c r="M22" s="128"/>
      <c r="N22" s="128"/>
      <c r="O22" s="128"/>
      <c r="P22" s="128"/>
      <c r="Q22" s="129"/>
      <c r="R22" s="128"/>
      <c r="S22" s="128"/>
      <c r="T22" s="128"/>
      <c r="U22" s="128"/>
      <c r="V22" s="129"/>
      <c r="W22" s="128"/>
      <c r="X22" s="128"/>
      <c r="Y22" s="128"/>
      <c r="Z22" s="128"/>
      <c r="AA22" s="129"/>
      <c r="AB22" s="128">
        <v>3729</v>
      </c>
      <c r="AC22" s="128">
        <v>3917</v>
      </c>
      <c r="AD22" s="128">
        <v>3854</v>
      </c>
      <c r="AE22" s="128">
        <v>4168</v>
      </c>
      <c r="AF22" s="129">
        <v>4168</v>
      </c>
      <c r="AG22" s="128">
        <v>3997</v>
      </c>
      <c r="AH22" s="128">
        <v>4195</v>
      </c>
      <c r="AI22" s="128">
        <v>4511</v>
      </c>
      <c r="AJ22" s="128">
        <v>4794</v>
      </c>
      <c r="AK22" s="129">
        <f t="shared" si="11"/>
        <v>4794</v>
      </c>
      <c r="AL22" s="128">
        <v>4560</v>
      </c>
      <c r="AM22" s="128">
        <v>4599</v>
      </c>
      <c r="AN22" s="128">
        <v>4733</v>
      </c>
      <c r="AO22" s="128">
        <v>4823</v>
      </c>
      <c r="AP22" s="129">
        <f t="shared" si="12"/>
        <v>4823</v>
      </c>
      <c r="AQ22" s="128">
        <v>5283</v>
      </c>
      <c r="AR22" s="128">
        <v>5625</v>
      </c>
      <c r="AS22" s="128">
        <v>6480</v>
      </c>
      <c r="AT22" s="128">
        <v>6882</v>
      </c>
      <c r="AU22" s="129">
        <f t="shared" si="2"/>
        <v>6882</v>
      </c>
      <c r="AV22" s="128">
        <v>7049</v>
      </c>
      <c r="AW22" s="128">
        <v>6950</v>
      </c>
      <c r="AX22" s="128">
        <v>6892</v>
      </c>
      <c r="AY22" s="128">
        <v>6552</v>
      </c>
      <c r="AZ22" s="129">
        <f t="shared" si="13"/>
        <v>6552</v>
      </c>
      <c r="BA22" s="128">
        <v>6512</v>
      </c>
      <c r="BB22" s="128">
        <v>6692</v>
      </c>
      <c r="BC22" s="128">
        <v>6345</v>
      </c>
      <c r="BD22" s="128">
        <v>6311</v>
      </c>
      <c r="BE22" s="129">
        <f t="shared" ref="BE22:BE31" si="14">BD22</f>
        <v>6311</v>
      </c>
      <c r="BF22" s="128">
        <v>6341</v>
      </c>
      <c r="BG22" s="128">
        <v>6390</v>
      </c>
      <c r="BH22" s="128">
        <v>6115</v>
      </c>
      <c r="BI22" s="128">
        <v>6177</v>
      </c>
      <c r="BJ22" s="129">
        <f t="shared" si="5"/>
        <v>6177</v>
      </c>
      <c r="BK22" s="128">
        <v>6111</v>
      </c>
      <c r="BL22" s="128">
        <v>6176</v>
      </c>
      <c r="BM22" s="128"/>
      <c r="BN22" s="128"/>
      <c r="BO22" s="129">
        <f t="shared" si="6"/>
        <v>6176</v>
      </c>
      <c r="BQ22" s="470"/>
      <c r="BR22" s="84"/>
    </row>
    <row r="23" spans="2:70" ht="13">
      <c r="B23" s="103" t="s">
        <v>124</v>
      </c>
      <c r="C23" s="128">
        <v>2159</v>
      </c>
      <c r="D23" s="128">
        <v>2097</v>
      </c>
      <c r="E23" s="128">
        <v>2078</v>
      </c>
      <c r="F23" s="128">
        <v>3091</v>
      </c>
      <c r="G23" s="129">
        <v>3091</v>
      </c>
      <c r="H23" s="128">
        <v>3635</v>
      </c>
      <c r="I23" s="128">
        <v>3668</v>
      </c>
      <c r="J23" s="128">
        <v>3705</v>
      </c>
      <c r="K23" s="128">
        <v>3764</v>
      </c>
      <c r="L23" s="129">
        <v>3764</v>
      </c>
      <c r="M23" s="128">
        <v>3792</v>
      </c>
      <c r="N23" s="128">
        <v>3771</v>
      </c>
      <c r="O23" s="128">
        <v>3760</v>
      </c>
      <c r="P23" s="128">
        <v>3652</v>
      </c>
      <c r="Q23" s="129">
        <v>3652</v>
      </c>
      <c r="R23" s="128">
        <v>3701</v>
      </c>
      <c r="S23" s="128">
        <v>3788</v>
      </c>
      <c r="T23" s="128">
        <v>3727</v>
      </c>
      <c r="U23" s="128">
        <v>2211</v>
      </c>
      <c r="V23" s="129">
        <v>2211</v>
      </c>
      <c r="W23" s="128">
        <v>2394</v>
      </c>
      <c r="X23" s="128">
        <v>2496</v>
      </c>
      <c r="Y23" s="128">
        <v>3586</v>
      </c>
      <c r="Z23" s="128">
        <v>3540</v>
      </c>
      <c r="AA23" s="129">
        <v>3540</v>
      </c>
      <c r="AB23" s="128">
        <v>4063</v>
      </c>
      <c r="AC23" s="128">
        <v>4080</v>
      </c>
      <c r="AD23" s="128">
        <v>4166</v>
      </c>
      <c r="AE23" s="128">
        <v>5286</v>
      </c>
      <c r="AF23" s="129">
        <v>5286</v>
      </c>
      <c r="AG23" s="128">
        <v>5369</v>
      </c>
      <c r="AH23" s="128">
        <v>5360</v>
      </c>
      <c r="AI23" s="128">
        <v>6198</v>
      </c>
      <c r="AJ23" s="128">
        <v>6079</v>
      </c>
      <c r="AK23" s="129">
        <f t="shared" si="11"/>
        <v>6079</v>
      </c>
      <c r="AL23" s="128">
        <v>6197</v>
      </c>
      <c r="AM23" s="128">
        <v>6122</v>
      </c>
      <c r="AN23" s="128">
        <v>6119</v>
      </c>
      <c r="AO23" s="128">
        <v>6195</v>
      </c>
      <c r="AP23" s="129">
        <f t="shared" si="12"/>
        <v>6195</v>
      </c>
      <c r="AQ23" s="128">
        <v>6424</v>
      </c>
      <c r="AR23" s="128">
        <v>6892</v>
      </c>
      <c r="AS23" s="128">
        <v>7247</v>
      </c>
      <c r="AT23" s="128">
        <v>7248</v>
      </c>
      <c r="AU23" s="129">
        <f t="shared" si="2"/>
        <v>7248</v>
      </c>
      <c r="AV23" s="128">
        <v>7233</v>
      </c>
      <c r="AW23" s="128">
        <v>7240</v>
      </c>
      <c r="AX23" s="128">
        <v>7435</v>
      </c>
      <c r="AY23" s="128">
        <v>7303</v>
      </c>
      <c r="AZ23" s="129">
        <f t="shared" si="13"/>
        <v>7303</v>
      </c>
      <c r="BA23" s="128">
        <v>7405</v>
      </c>
      <c r="BB23" s="128">
        <v>10191</v>
      </c>
      <c r="BC23" s="128">
        <v>9935</v>
      </c>
      <c r="BD23" s="128">
        <v>10106</v>
      </c>
      <c r="BE23" s="129">
        <f t="shared" si="14"/>
        <v>10106</v>
      </c>
      <c r="BF23" s="128">
        <v>11119</v>
      </c>
      <c r="BG23" s="128">
        <v>11502</v>
      </c>
      <c r="BH23" s="128">
        <v>11634</v>
      </c>
      <c r="BI23" s="128">
        <v>12117</v>
      </c>
      <c r="BJ23" s="129">
        <f t="shared" si="5"/>
        <v>12117</v>
      </c>
      <c r="BK23" s="128">
        <v>14726</v>
      </c>
      <c r="BL23" s="128">
        <v>14864</v>
      </c>
      <c r="BM23" s="128"/>
      <c r="BN23" s="128"/>
      <c r="BO23" s="129">
        <f t="shared" si="6"/>
        <v>14864</v>
      </c>
      <c r="BQ23" s="470"/>
      <c r="BR23" s="84"/>
    </row>
    <row r="24" spans="2:70" ht="13">
      <c r="B24" s="103" t="s">
        <v>125</v>
      </c>
      <c r="C24" s="128">
        <v>324</v>
      </c>
      <c r="D24" s="128">
        <v>301</v>
      </c>
      <c r="E24" s="128">
        <v>282</v>
      </c>
      <c r="F24" s="128">
        <v>638</v>
      </c>
      <c r="G24" s="129">
        <v>638</v>
      </c>
      <c r="H24" s="128">
        <v>944</v>
      </c>
      <c r="I24" s="128">
        <v>917</v>
      </c>
      <c r="J24" s="128">
        <v>1040</v>
      </c>
      <c r="K24" s="128">
        <v>985</v>
      </c>
      <c r="L24" s="129">
        <v>985</v>
      </c>
      <c r="M24" s="128">
        <v>958</v>
      </c>
      <c r="N24" s="128">
        <v>904</v>
      </c>
      <c r="O24" s="128">
        <v>861</v>
      </c>
      <c r="P24" s="128">
        <v>776</v>
      </c>
      <c r="Q24" s="129">
        <v>776</v>
      </c>
      <c r="R24" s="128">
        <v>730</v>
      </c>
      <c r="S24" s="128">
        <v>700</v>
      </c>
      <c r="T24" s="128">
        <v>599</v>
      </c>
      <c r="U24" s="128">
        <v>247</v>
      </c>
      <c r="V24" s="129">
        <v>247</v>
      </c>
      <c r="W24" s="128">
        <v>370</v>
      </c>
      <c r="X24" s="128">
        <v>364</v>
      </c>
      <c r="Y24" s="128">
        <v>756</v>
      </c>
      <c r="Z24" s="128">
        <v>691</v>
      </c>
      <c r="AA24" s="129">
        <v>691</v>
      </c>
      <c r="AB24" s="128">
        <v>1426</v>
      </c>
      <c r="AC24" s="128">
        <v>1356</v>
      </c>
      <c r="AD24" s="128">
        <v>1321</v>
      </c>
      <c r="AE24" s="128">
        <v>1900</v>
      </c>
      <c r="AF24" s="129">
        <v>1900</v>
      </c>
      <c r="AG24" s="128">
        <v>1851</v>
      </c>
      <c r="AH24" s="128">
        <v>1752</v>
      </c>
      <c r="AI24" s="128">
        <v>2244</v>
      </c>
      <c r="AJ24" s="128">
        <v>2072</v>
      </c>
      <c r="AK24" s="129">
        <f t="shared" si="11"/>
        <v>2072</v>
      </c>
      <c r="AL24" s="128">
        <v>2024</v>
      </c>
      <c r="AM24" s="128">
        <v>1895</v>
      </c>
      <c r="AN24" s="128">
        <v>1780</v>
      </c>
      <c r="AO24" s="128">
        <v>1707</v>
      </c>
      <c r="AP24" s="129">
        <f t="shared" si="12"/>
        <v>1707</v>
      </c>
      <c r="AQ24" s="128">
        <v>1712</v>
      </c>
      <c r="AR24" s="128">
        <v>1828</v>
      </c>
      <c r="AS24" s="128">
        <v>1836</v>
      </c>
      <c r="AT24" s="128">
        <v>1749</v>
      </c>
      <c r="AU24" s="129">
        <f t="shared" si="2"/>
        <v>1749</v>
      </c>
      <c r="AV24" s="128">
        <v>1643</v>
      </c>
      <c r="AW24" s="128">
        <v>1547</v>
      </c>
      <c r="AX24" s="128">
        <v>1508</v>
      </c>
      <c r="AY24" s="128">
        <v>1397</v>
      </c>
      <c r="AZ24" s="129">
        <f t="shared" si="13"/>
        <v>1397</v>
      </c>
      <c r="BA24" s="128">
        <v>1391</v>
      </c>
      <c r="BB24" s="128">
        <v>3254</v>
      </c>
      <c r="BC24" s="128">
        <v>2983</v>
      </c>
      <c r="BD24" s="128">
        <v>2766</v>
      </c>
      <c r="BE24" s="129">
        <f t="shared" si="14"/>
        <v>2766</v>
      </c>
      <c r="BF24" s="128">
        <v>3175</v>
      </c>
      <c r="BG24" s="128">
        <v>3168</v>
      </c>
      <c r="BH24" s="128">
        <v>3073</v>
      </c>
      <c r="BI24" s="128">
        <v>2825</v>
      </c>
      <c r="BJ24" s="129">
        <f t="shared" si="5"/>
        <v>2825</v>
      </c>
      <c r="BK24" s="128">
        <v>4603</v>
      </c>
      <c r="BL24" s="128">
        <v>4425</v>
      </c>
      <c r="BM24" s="128"/>
      <c r="BN24" s="128"/>
      <c r="BO24" s="129">
        <f t="shared" si="6"/>
        <v>4425</v>
      </c>
      <c r="BQ24" s="470"/>
      <c r="BR24" s="84"/>
    </row>
    <row r="25" spans="2:70" ht="13">
      <c r="B25" s="103" t="s">
        <v>126</v>
      </c>
      <c r="C25" s="89">
        <v>0</v>
      </c>
      <c r="D25" s="89">
        <v>0</v>
      </c>
      <c r="E25" s="89">
        <v>0</v>
      </c>
      <c r="F25" s="89">
        <v>0</v>
      </c>
      <c r="G25" s="28">
        <v>0</v>
      </c>
      <c r="H25" s="89">
        <v>0</v>
      </c>
      <c r="I25" s="89">
        <v>0</v>
      </c>
      <c r="J25" s="89">
        <v>0</v>
      </c>
      <c r="K25" s="89">
        <v>0</v>
      </c>
      <c r="L25" s="129"/>
      <c r="M25" s="89">
        <v>0</v>
      </c>
      <c r="N25" s="89">
        <v>0</v>
      </c>
      <c r="O25" s="130">
        <v>0</v>
      </c>
      <c r="P25" s="89">
        <v>0</v>
      </c>
      <c r="Q25" s="66"/>
      <c r="R25" s="89">
        <v>0</v>
      </c>
      <c r="S25" s="89">
        <v>0</v>
      </c>
      <c r="T25" s="89">
        <v>0</v>
      </c>
      <c r="U25" s="89">
        <v>0</v>
      </c>
      <c r="V25" s="66">
        <v>0</v>
      </c>
      <c r="W25" s="89">
        <v>0</v>
      </c>
      <c r="X25" s="89">
        <v>0</v>
      </c>
      <c r="Y25" s="89">
        <v>0</v>
      </c>
      <c r="Z25" s="89">
        <v>0</v>
      </c>
      <c r="AA25" s="66">
        <v>0</v>
      </c>
      <c r="AB25" s="89">
        <v>0</v>
      </c>
      <c r="AC25" s="89">
        <v>0</v>
      </c>
      <c r="AD25" s="89">
        <v>0</v>
      </c>
      <c r="AE25" s="89">
        <v>0</v>
      </c>
      <c r="AF25" s="66">
        <v>0</v>
      </c>
      <c r="AG25" s="89">
        <v>0</v>
      </c>
      <c r="AH25" s="89">
        <v>0</v>
      </c>
      <c r="AI25" s="89">
        <v>0</v>
      </c>
      <c r="AJ25" s="89">
        <v>0</v>
      </c>
      <c r="AK25" s="66">
        <f t="shared" si="11"/>
        <v>0</v>
      </c>
      <c r="AL25" s="89">
        <v>0</v>
      </c>
      <c r="AM25" s="89">
        <v>0</v>
      </c>
      <c r="AN25" s="89">
        <v>0</v>
      </c>
      <c r="AO25" s="89">
        <v>0</v>
      </c>
      <c r="AP25" s="66">
        <f t="shared" si="12"/>
        <v>0</v>
      </c>
      <c r="AQ25" s="89">
        <v>0</v>
      </c>
      <c r="AR25" s="89">
        <v>0</v>
      </c>
      <c r="AS25" s="89">
        <v>0</v>
      </c>
      <c r="AT25" s="89">
        <v>0</v>
      </c>
      <c r="AU25" s="66">
        <f t="shared" si="2"/>
        <v>0</v>
      </c>
      <c r="AV25" s="89">
        <v>0</v>
      </c>
      <c r="AW25" s="89">
        <v>0</v>
      </c>
      <c r="AX25" s="89">
        <v>0</v>
      </c>
      <c r="AY25" s="89">
        <v>0</v>
      </c>
      <c r="AZ25" s="66">
        <f t="shared" si="13"/>
        <v>0</v>
      </c>
      <c r="BA25" s="89">
        <v>0</v>
      </c>
      <c r="BB25" s="89">
        <v>0</v>
      </c>
      <c r="BC25" s="89">
        <v>0</v>
      </c>
      <c r="BD25" s="89">
        <v>0</v>
      </c>
      <c r="BE25" s="66">
        <f t="shared" si="14"/>
        <v>0</v>
      </c>
      <c r="BF25" s="89">
        <v>0</v>
      </c>
      <c r="BG25" s="89">
        <v>0</v>
      </c>
      <c r="BH25" s="89">
        <v>0</v>
      </c>
      <c r="BI25" s="89">
        <v>0</v>
      </c>
      <c r="BJ25" s="66">
        <f t="shared" si="5"/>
        <v>0</v>
      </c>
      <c r="BK25" s="89">
        <v>0</v>
      </c>
      <c r="BL25" s="89">
        <v>0</v>
      </c>
      <c r="BM25" s="89"/>
      <c r="BN25" s="89"/>
      <c r="BO25" s="66">
        <f t="shared" si="6"/>
        <v>0</v>
      </c>
      <c r="BQ25" s="470"/>
      <c r="BR25" s="84"/>
    </row>
    <row r="26" spans="2:70" ht="13">
      <c r="B26" s="103" t="s">
        <v>127</v>
      </c>
      <c r="C26" s="130">
        <v>0</v>
      </c>
      <c r="D26" s="130">
        <v>0</v>
      </c>
      <c r="E26" s="130">
        <v>0</v>
      </c>
      <c r="F26" s="128">
        <v>93</v>
      </c>
      <c r="G26" s="129">
        <v>93</v>
      </c>
      <c r="H26" s="89">
        <v>95</v>
      </c>
      <c r="I26" s="89">
        <v>96</v>
      </c>
      <c r="J26" s="89">
        <v>104</v>
      </c>
      <c r="K26" s="128">
        <v>103</v>
      </c>
      <c r="L26" s="129">
        <v>103</v>
      </c>
      <c r="M26" s="89">
        <v>103</v>
      </c>
      <c r="N26" s="89">
        <v>99</v>
      </c>
      <c r="O26" s="89">
        <v>100</v>
      </c>
      <c r="P26" s="128">
        <v>71</v>
      </c>
      <c r="Q26" s="129">
        <v>71</v>
      </c>
      <c r="R26" s="89">
        <v>0</v>
      </c>
      <c r="S26" s="89">
        <v>0</v>
      </c>
      <c r="T26" s="89">
        <v>0</v>
      </c>
      <c r="U26" s="89">
        <v>0</v>
      </c>
      <c r="V26" s="28">
        <v>0</v>
      </c>
      <c r="W26" s="89">
        <v>0</v>
      </c>
      <c r="X26" s="89">
        <v>0</v>
      </c>
      <c r="Y26" s="89">
        <v>0</v>
      </c>
      <c r="Z26" s="89">
        <v>0</v>
      </c>
      <c r="AA26" s="28">
        <v>0</v>
      </c>
      <c r="AB26" s="89">
        <v>0</v>
      </c>
      <c r="AC26" s="89">
        <v>0</v>
      </c>
      <c r="AD26" s="89">
        <v>0</v>
      </c>
      <c r="AE26" s="89">
        <v>0</v>
      </c>
      <c r="AF26" s="28">
        <v>0</v>
      </c>
      <c r="AG26" s="89">
        <v>0</v>
      </c>
      <c r="AH26" s="89">
        <v>0</v>
      </c>
      <c r="AI26" s="89">
        <v>0</v>
      </c>
      <c r="AJ26" s="89">
        <v>0</v>
      </c>
      <c r="AK26" s="28">
        <f t="shared" si="11"/>
        <v>0</v>
      </c>
      <c r="AL26" s="89">
        <v>0</v>
      </c>
      <c r="AM26" s="89">
        <v>0</v>
      </c>
      <c r="AN26" s="89">
        <v>0</v>
      </c>
      <c r="AO26" s="89">
        <v>0</v>
      </c>
      <c r="AP26" s="28">
        <f t="shared" si="12"/>
        <v>0</v>
      </c>
      <c r="AQ26" s="89">
        <v>0</v>
      </c>
      <c r="AR26" s="89">
        <v>0</v>
      </c>
      <c r="AS26" s="89">
        <v>0</v>
      </c>
      <c r="AT26" s="89">
        <v>0</v>
      </c>
      <c r="AU26" s="28">
        <f t="shared" si="2"/>
        <v>0</v>
      </c>
      <c r="AV26" s="89">
        <v>0</v>
      </c>
      <c r="AW26" s="89">
        <v>0</v>
      </c>
      <c r="AX26" s="89">
        <v>0</v>
      </c>
      <c r="AY26" s="89">
        <v>0</v>
      </c>
      <c r="AZ26" s="66">
        <f t="shared" si="13"/>
        <v>0</v>
      </c>
      <c r="BA26" s="89">
        <v>0</v>
      </c>
      <c r="BB26" s="89">
        <v>0</v>
      </c>
      <c r="BC26" s="89">
        <v>0</v>
      </c>
      <c r="BD26" s="89">
        <v>0</v>
      </c>
      <c r="BE26" s="66">
        <f t="shared" si="14"/>
        <v>0</v>
      </c>
      <c r="BF26" s="89">
        <v>0</v>
      </c>
      <c r="BG26" s="89">
        <v>0</v>
      </c>
      <c r="BH26" s="89">
        <v>0</v>
      </c>
      <c r="BI26" s="89">
        <v>0</v>
      </c>
      <c r="BJ26" s="66">
        <f t="shared" si="5"/>
        <v>0</v>
      </c>
      <c r="BK26" s="89">
        <v>0</v>
      </c>
      <c r="BL26" s="89">
        <v>0</v>
      </c>
      <c r="BM26" s="89"/>
      <c r="BN26" s="89"/>
      <c r="BO26" s="66">
        <f t="shared" si="6"/>
        <v>0</v>
      </c>
      <c r="BQ26" s="470"/>
      <c r="BR26" s="84"/>
    </row>
    <row r="27" spans="2:70" ht="13">
      <c r="B27" s="103" t="s">
        <v>128</v>
      </c>
      <c r="C27" s="128">
        <v>1304</v>
      </c>
      <c r="D27" s="128">
        <v>1316</v>
      </c>
      <c r="E27" s="128">
        <v>1350</v>
      </c>
      <c r="F27" s="128">
        <v>1345</v>
      </c>
      <c r="G27" s="129">
        <v>1345</v>
      </c>
      <c r="H27" s="128">
        <v>1371</v>
      </c>
      <c r="I27" s="128">
        <v>1609</v>
      </c>
      <c r="J27" s="128">
        <v>1683</v>
      </c>
      <c r="K27" s="128">
        <v>1811</v>
      </c>
      <c r="L27" s="129">
        <v>1811</v>
      </c>
      <c r="M27" s="128">
        <v>1740</v>
      </c>
      <c r="N27" s="128">
        <v>1931</v>
      </c>
      <c r="O27" s="128">
        <v>5405</v>
      </c>
      <c r="P27" s="128">
        <v>6382</v>
      </c>
      <c r="Q27" s="129">
        <v>6382</v>
      </c>
      <c r="R27" s="128">
        <v>6061</v>
      </c>
      <c r="S27" s="128">
        <v>6169</v>
      </c>
      <c r="T27" s="128">
        <v>6111</v>
      </c>
      <c r="U27" s="128">
        <v>5756</v>
      </c>
      <c r="V27" s="129">
        <v>5756</v>
      </c>
      <c r="W27" s="128">
        <v>5623</v>
      </c>
      <c r="X27" s="128">
        <v>5165</v>
      </c>
      <c r="Y27" s="128">
        <v>4535</v>
      </c>
      <c r="Z27" s="128">
        <v>4634</v>
      </c>
      <c r="AA27" s="129">
        <v>4634</v>
      </c>
      <c r="AB27" s="128">
        <v>3779</v>
      </c>
      <c r="AC27" s="128">
        <v>3943</v>
      </c>
      <c r="AD27" s="128">
        <v>4241</v>
      </c>
      <c r="AE27" s="128">
        <v>4137</v>
      </c>
      <c r="AF27" s="129">
        <v>4137</v>
      </c>
      <c r="AG27" s="128">
        <v>6440</v>
      </c>
      <c r="AH27" s="128">
        <v>7754</v>
      </c>
      <c r="AI27" s="128">
        <v>7995</v>
      </c>
      <c r="AJ27" s="128">
        <v>11863</v>
      </c>
      <c r="AK27" s="129">
        <f t="shared" si="11"/>
        <v>11863</v>
      </c>
      <c r="AL27" s="128">
        <v>11989</v>
      </c>
      <c r="AM27" s="128">
        <v>10096</v>
      </c>
      <c r="AN27" s="128">
        <v>12066</v>
      </c>
      <c r="AO27" s="128">
        <v>13651</v>
      </c>
      <c r="AP27" s="129">
        <f t="shared" si="12"/>
        <v>13651</v>
      </c>
      <c r="AQ27" s="128">
        <v>13141</v>
      </c>
      <c r="AR27" s="128">
        <v>12670</v>
      </c>
      <c r="AS27" s="128">
        <v>12386</v>
      </c>
      <c r="AT27" s="128">
        <v>12569</v>
      </c>
      <c r="AU27" s="129">
        <f t="shared" si="2"/>
        <v>12569</v>
      </c>
      <c r="AV27" s="128">
        <v>11991</v>
      </c>
      <c r="AW27" s="128">
        <v>11744</v>
      </c>
      <c r="AX27" s="128">
        <v>11270</v>
      </c>
      <c r="AY27" s="128">
        <v>11708</v>
      </c>
      <c r="AZ27" s="129">
        <f t="shared" si="13"/>
        <v>11708</v>
      </c>
      <c r="BA27" s="128">
        <v>11174</v>
      </c>
      <c r="BB27" s="128">
        <v>9962</v>
      </c>
      <c r="BC27" s="128">
        <v>9458</v>
      </c>
      <c r="BD27" s="128">
        <v>11059</v>
      </c>
      <c r="BE27" s="129">
        <f t="shared" si="14"/>
        <v>11059</v>
      </c>
      <c r="BF27" s="128">
        <v>10643</v>
      </c>
      <c r="BG27" s="128">
        <v>10879</v>
      </c>
      <c r="BH27" s="128">
        <v>8899</v>
      </c>
      <c r="BI27" s="128">
        <v>8930</v>
      </c>
      <c r="BJ27" s="129">
        <f t="shared" si="5"/>
        <v>8930</v>
      </c>
      <c r="BK27" s="128">
        <v>8743</v>
      </c>
      <c r="BL27" s="128">
        <v>8390</v>
      </c>
      <c r="BM27" s="128"/>
      <c r="BN27" s="128"/>
      <c r="BO27" s="129">
        <f t="shared" si="6"/>
        <v>8390</v>
      </c>
      <c r="BQ27" s="470"/>
      <c r="BR27" s="84"/>
    </row>
    <row r="28" spans="2:70" ht="13">
      <c r="B28" s="103" t="s">
        <v>129</v>
      </c>
      <c r="C28" s="89">
        <v>0</v>
      </c>
      <c r="D28" s="89">
        <v>0</v>
      </c>
      <c r="E28" s="89">
        <v>0</v>
      </c>
      <c r="F28" s="89">
        <v>0</v>
      </c>
      <c r="G28" s="28">
        <v>0</v>
      </c>
      <c r="H28" s="89">
        <v>0</v>
      </c>
      <c r="I28" s="89">
        <v>0</v>
      </c>
      <c r="J28" s="89">
        <v>0</v>
      </c>
      <c r="K28" s="89">
        <v>0</v>
      </c>
      <c r="L28" s="28">
        <v>0</v>
      </c>
      <c r="M28" s="89">
        <v>0</v>
      </c>
      <c r="N28" s="89"/>
      <c r="O28" s="89">
        <v>0</v>
      </c>
      <c r="P28" s="89">
        <v>0</v>
      </c>
      <c r="Q28" s="28">
        <v>0</v>
      </c>
      <c r="R28" s="89">
        <v>0</v>
      </c>
      <c r="S28" s="89">
        <v>0</v>
      </c>
      <c r="T28" s="89">
        <v>0</v>
      </c>
      <c r="U28" s="89">
        <v>0</v>
      </c>
      <c r="V28" s="28">
        <v>0</v>
      </c>
      <c r="W28" s="89">
        <v>0</v>
      </c>
      <c r="X28" s="89">
        <v>0</v>
      </c>
      <c r="Y28" s="89">
        <v>0</v>
      </c>
      <c r="Z28" s="89">
        <v>0</v>
      </c>
      <c r="AA28" s="28">
        <v>0</v>
      </c>
      <c r="AB28" s="89">
        <v>0</v>
      </c>
      <c r="AC28" s="89">
        <v>0</v>
      </c>
      <c r="AD28" s="89">
        <v>0</v>
      </c>
      <c r="AE28" s="89">
        <v>0</v>
      </c>
      <c r="AF28" s="28">
        <v>0</v>
      </c>
      <c r="AG28" s="89">
        <v>0</v>
      </c>
      <c r="AH28" s="89">
        <v>0</v>
      </c>
      <c r="AI28" s="89">
        <v>0</v>
      </c>
      <c r="AJ28" s="89">
        <v>0</v>
      </c>
      <c r="AK28" s="28">
        <f t="shared" si="11"/>
        <v>0</v>
      </c>
      <c r="AL28" s="89">
        <v>0</v>
      </c>
      <c r="AM28" s="89">
        <v>0</v>
      </c>
      <c r="AN28" s="89">
        <v>0</v>
      </c>
      <c r="AO28" s="89">
        <v>0</v>
      </c>
      <c r="AP28" s="28">
        <f t="shared" si="12"/>
        <v>0</v>
      </c>
      <c r="AQ28" s="89">
        <v>0</v>
      </c>
      <c r="AR28" s="89">
        <v>0</v>
      </c>
      <c r="AS28" s="89">
        <v>0</v>
      </c>
      <c r="AT28" s="89">
        <v>0</v>
      </c>
      <c r="AU28" s="28">
        <f t="shared" si="2"/>
        <v>0</v>
      </c>
      <c r="AV28" s="89">
        <v>0</v>
      </c>
      <c r="AW28" s="89">
        <v>0</v>
      </c>
      <c r="AX28" s="89">
        <v>0</v>
      </c>
      <c r="AY28" s="89">
        <v>0</v>
      </c>
      <c r="AZ28" s="28">
        <f t="shared" si="13"/>
        <v>0</v>
      </c>
      <c r="BA28" s="89">
        <v>0</v>
      </c>
      <c r="BB28" s="89">
        <v>0</v>
      </c>
      <c r="BC28" s="89">
        <v>0</v>
      </c>
      <c r="BD28" s="89">
        <v>0</v>
      </c>
      <c r="BE28" s="28">
        <v>0</v>
      </c>
      <c r="BF28" s="89">
        <v>0</v>
      </c>
      <c r="BG28" s="89">
        <v>0</v>
      </c>
      <c r="BH28" s="89">
        <v>0</v>
      </c>
      <c r="BI28" s="89">
        <v>0</v>
      </c>
      <c r="BJ28" s="28">
        <f t="shared" si="5"/>
        <v>0</v>
      </c>
      <c r="BK28" s="89">
        <v>0</v>
      </c>
      <c r="BL28" s="89">
        <v>0</v>
      </c>
      <c r="BM28" s="89"/>
      <c r="BN28" s="89"/>
      <c r="BO28" s="28">
        <f t="shared" si="6"/>
        <v>0</v>
      </c>
      <c r="BQ28" s="470"/>
      <c r="BR28" s="84"/>
    </row>
    <row r="29" spans="2:70" ht="13">
      <c r="B29" s="103" t="s">
        <v>130</v>
      </c>
      <c r="C29" s="89"/>
      <c r="D29" s="89"/>
      <c r="E29" s="89"/>
      <c r="F29" s="89"/>
      <c r="G29" s="28"/>
      <c r="H29" s="89"/>
      <c r="I29" s="89"/>
      <c r="J29" s="89"/>
      <c r="K29" s="89"/>
      <c r="L29" s="28"/>
      <c r="M29" s="89"/>
      <c r="N29" s="89"/>
      <c r="O29" s="89"/>
      <c r="P29" s="89"/>
      <c r="Q29" s="28"/>
      <c r="R29" s="89"/>
      <c r="S29" s="89"/>
      <c r="T29" s="89"/>
      <c r="U29" s="89"/>
      <c r="V29" s="28"/>
      <c r="W29" s="89"/>
      <c r="X29" s="89"/>
      <c r="Y29" s="89"/>
      <c r="Z29" s="89"/>
      <c r="AA29" s="28"/>
      <c r="AB29" s="89"/>
      <c r="AC29" s="89"/>
      <c r="AD29" s="89"/>
      <c r="AE29" s="89"/>
      <c r="AF29" s="28"/>
      <c r="AG29" s="89">
        <v>0</v>
      </c>
      <c r="AH29" s="89">
        <v>0</v>
      </c>
      <c r="AI29" s="89">
        <v>0</v>
      </c>
      <c r="AJ29" s="89">
        <v>594</v>
      </c>
      <c r="AK29" s="28">
        <f t="shared" si="11"/>
        <v>594</v>
      </c>
      <c r="AL29" s="89">
        <v>722</v>
      </c>
      <c r="AM29" s="89">
        <v>758</v>
      </c>
      <c r="AN29" s="89">
        <v>940</v>
      </c>
      <c r="AO29" s="89">
        <v>941</v>
      </c>
      <c r="AP29" s="28">
        <f t="shared" si="12"/>
        <v>941</v>
      </c>
      <c r="AQ29" s="89">
        <v>1185</v>
      </c>
      <c r="AR29" s="89">
        <v>1414</v>
      </c>
      <c r="AS29" s="128">
        <v>1708</v>
      </c>
      <c r="AT29" s="89">
        <v>1449</v>
      </c>
      <c r="AU29" s="28">
        <f t="shared" si="2"/>
        <v>1449</v>
      </c>
      <c r="AV29" s="89">
        <v>1379</v>
      </c>
      <c r="AW29" s="89">
        <v>1419</v>
      </c>
      <c r="AX29" s="128">
        <v>1677</v>
      </c>
      <c r="AY29" s="89">
        <v>1780</v>
      </c>
      <c r="AZ29" s="28">
        <f t="shared" ref="AZ29:AZ34" si="15">AY29</f>
        <v>1780</v>
      </c>
      <c r="BA29" s="89">
        <v>1652</v>
      </c>
      <c r="BB29" s="89">
        <v>2135</v>
      </c>
      <c r="BC29" s="128">
        <v>2579</v>
      </c>
      <c r="BD29" s="89">
        <v>2232</v>
      </c>
      <c r="BE29" s="129">
        <f t="shared" si="14"/>
        <v>2232</v>
      </c>
      <c r="BF29" s="89">
        <v>2246</v>
      </c>
      <c r="BG29" s="89">
        <v>2308</v>
      </c>
      <c r="BH29" s="128">
        <v>2017</v>
      </c>
      <c r="BI29" s="89">
        <v>1738</v>
      </c>
      <c r="BJ29" s="129">
        <f t="shared" si="5"/>
        <v>1738</v>
      </c>
      <c r="BK29" s="89">
        <v>1965</v>
      </c>
      <c r="BL29" s="89">
        <v>2146</v>
      </c>
      <c r="BM29" s="128"/>
      <c r="BN29" s="89"/>
      <c r="BO29" s="129">
        <f t="shared" si="6"/>
        <v>2146</v>
      </c>
      <c r="BQ29" s="470"/>
      <c r="BR29" s="84"/>
    </row>
    <row r="30" spans="2:70" ht="13">
      <c r="B30" s="103" t="s">
        <v>131</v>
      </c>
      <c r="C30" s="128">
        <v>656</v>
      </c>
      <c r="D30" s="128">
        <v>666</v>
      </c>
      <c r="E30" s="128">
        <v>626</v>
      </c>
      <c r="F30" s="128">
        <v>537</v>
      </c>
      <c r="G30" s="129">
        <v>537</v>
      </c>
      <c r="H30" s="128">
        <v>484</v>
      </c>
      <c r="I30" s="128">
        <v>511</v>
      </c>
      <c r="J30" s="128">
        <v>519</v>
      </c>
      <c r="K30" s="128">
        <v>536</v>
      </c>
      <c r="L30" s="129">
        <v>536</v>
      </c>
      <c r="M30" s="128">
        <v>626</v>
      </c>
      <c r="N30" s="128">
        <v>628</v>
      </c>
      <c r="O30" s="128">
        <v>621</v>
      </c>
      <c r="P30" s="128">
        <v>540</v>
      </c>
      <c r="Q30" s="129">
        <v>540</v>
      </c>
      <c r="R30" s="128">
        <v>679</v>
      </c>
      <c r="S30" s="128">
        <v>724</v>
      </c>
      <c r="T30" s="128">
        <v>1177</v>
      </c>
      <c r="U30" s="128">
        <v>1282</v>
      </c>
      <c r="V30" s="129">
        <v>1282</v>
      </c>
      <c r="W30" s="128">
        <v>1300</v>
      </c>
      <c r="X30" s="128">
        <v>1360</v>
      </c>
      <c r="Y30" s="128">
        <v>1218</v>
      </c>
      <c r="Z30" s="128">
        <v>1372</v>
      </c>
      <c r="AA30" s="129">
        <v>1372</v>
      </c>
      <c r="AB30" s="128">
        <v>1412</v>
      </c>
      <c r="AC30" s="128">
        <v>1363</v>
      </c>
      <c r="AD30" s="128">
        <v>1392</v>
      </c>
      <c r="AE30" s="128">
        <v>1744</v>
      </c>
      <c r="AF30" s="129">
        <v>1744</v>
      </c>
      <c r="AG30" s="128">
        <v>1496</v>
      </c>
      <c r="AH30" s="128">
        <v>1305</v>
      </c>
      <c r="AI30" s="128">
        <v>1231</v>
      </c>
      <c r="AJ30" s="128">
        <v>1098</v>
      </c>
      <c r="AK30" s="129">
        <f t="shared" si="11"/>
        <v>1098</v>
      </c>
      <c r="AL30" s="128">
        <v>1015</v>
      </c>
      <c r="AM30" s="128">
        <v>976</v>
      </c>
      <c r="AN30" s="128">
        <v>923</v>
      </c>
      <c r="AO30" s="128">
        <v>1212</v>
      </c>
      <c r="AP30" s="129">
        <f t="shared" si="12"/>
        <v>1212</v>
      </c>
      <c r="AQ30" s="128">
        <v>1332</v>
      </c>
      <c r="AR30" s="128">
        <v>1377</v>
      </c>
      <c r="AS30" s="128">
        <v>1157</v>
      </c>
      <c r="AT30" s="128">
        <v>1245</v>
      </c>
      <c r="AU30" s="129">
        <f t="shared" si="2"/>
        <v>1245</v>
      </c>
      <c r="AV30" s="128">
        <v>1025</v>
      </c>
      <c r="AW30" s="128">
        <v>868</v>
      </c>
      <c r="AX30" s="128">
        <v>702</v>
      </c>
      <c r="AY30" s="128">
        <v>454</v>
      </c>
      <c r="AZ30" s="28">
        <f t="shared" si="15"/>
        <v>454</v>
      </c>
      <c r="BA30" s="128">
        <v>469</v>
      </c>
      <c r="BB30" s="128">
        <v>556</v>
      </c>
      <c r="BC30" s="128">
        <v>786</v>
      </c>
      <c r="BD30" s="128">
        <v>1108</v>
      </c>
      <c r="BE30" s="129">
        <f t="shared" si="14"/>
        <v>1108</v>
      </c>
      <c r="BF30" s="128">
        <v>1269</v>
      </c>
      <c r="BG30" s="128">
        <v>1526</v>
      </c>
      <c r="BH30" s="128">
        <v>1740</v>
      </c>
      <c r="BI30" s="128">
        <v>2264</v>
      </c>
      <c r="BJ30" s="129">
        <f t="shared" si="5"/>
        <v>2264</v>
      </c>
      <c r="BK30" s="128">
        <v>2146</v>
      </c>
      <c r="BL30" s="128">
        <v>2307</v>
      </c>
      <c r="BM30" s="128"/>
      <c r="BN30" s="128"/>
      <c r="BO30" s="129">
        <f t="shared" si="6"/>
        <v>2307</v>
      </c>
      <c r="BQ30" s="470"/>
      <c r="BR30" s="84"/>
    </row>
    <row r="31" spans="2:70" ht="13">
      <c r="B31" s="103" t="s">
        <v>117</v>
      </c>
      <c r="C31" s="128">
        <v>1514</v>
      </c>
      <c r="D31" s="128">
        <v>1530</v>
      </c>
      <c r="E31" s="128">
        <v>1597</v>
      </c>
      <c r="F31" s="128">
        <v>4089</v>
      </c>
      <c r="G31" s="129">
        <v>4089</v>
      </c>
      <c r="H31" s="128">
        <v>4612</v>
      </c>
      <c r="I31" s="128">
        <v>4693</v>
      </c>
      <c r="J31" s="128">
        <v>4750</v>
      </c>
      <c r="K31" s="128">
        <v>5230</v>
      </c>
      <c r="L31" s="129">
        <v>5230</v>
      </c>
      <c r="M31" s="128">
        <v>5211</v>
      </c>
      <c r="N31" s="128">
        <v>5248</v>
      </c>
      <c r="O31" s="128">
        <v>5333</v>
      </c>
      <c r="P31" s="128">
        <v>5716</v>
      </c>
      <c r="Q31" s="129">
        <v>5716</v>
      </c>
      <c r="R31" s="128">
        <v>6076</v>
      </c>
      <c r="S31" s="128">
        <v>6239</v>
      </c>
      <c r="T31" s="128">
        <v>5514</v>
      </c>
      <c r="U31" s="128">
        <v>6070</v>
      </c>
      <c r="V31" s="129">
        <v>6070</v>
      </c>
      <c r="W31" s="128">
        <v>6056</v>
      </c>
      <c r="X31" s="128">
        <v>6085</v>
      </c>
      <c r="Y31" s="128">
        <v>6505</v>
      </c>
      <c r="Z31" s="128">
        <v>6320</v>
      </c>
      <c r="AA31" s="129">
        <v>6320</v>
      </c>
      <c r="AB31" s="128">
        <v>6326</v>
      </c>
      <c r="AC31" s="128">
        <v>6407</v>
      </c>
      <c r="AD31" s="128">
        <v>5276</v>
      </c>
      <c r="AE31" s="128">
        <v>5384</v>
      </c>
      <c r="AF31" s="129">
        <v>5384</v>
      </c>
      <c r="AG31" s="128">
        <v>5458</v>
      </c>
      <c r="AH31" s="128">
        <v>5402</v>
      </c>
      <c r="AI31" s="128">
        <v>5453</v>
      </c>
      <c r="AJ31" s="128">
        <v>5811</v>
      </c>
      <c r="AK31" s="129">
        <f t="shared" si="11"/>
        <v>5811</v>
      </c>
      <c r="AL31" s="128">
        <v>5801</v>
      </c>
      <c r="AM31" s="128">
        <v>5796</v>
      </c>
      <c r="AN31" s="128">
        <v>6005</v>
      </c>
      <c r="AO31" s="128">
        <v>6098</v>
      </c>
      <c r="AP31" s="129">
        <f t="shared" si="12"/>
        <v>6098</v>
      </c>
      <c r="AQ31" s="128">
        <v>6132</v>
      </c>
      <c r="AR31" s="128">
        <v>6160</v>
      </c>
      <c r="AS31" s="128">
        <v>6319</v>
      </c>
      <c r="AT31" s="128">
        <v>6453</v>
      </c>
      <c r="AU31" s="129">
        <f t="shared" si="2"/>
        <v>6453</v>
      </c>
      <c r="AV31" s="128">
        <v>6922</v>
      </c>
      <c r="AW31" s="128">
        <v>6945</v>
      </c>
      <c r="AX31" s="128">
        <v>6851</v>
      </c>
      <c r="AY31" s="128">
        <v>3045</v>
      </c>
      <c r="AZ31" s="28">
        <f t="shared" si="15"/>
        <v>3045</v>
      </c>
      <c r="BA31" s="128">
        <v>3487</v>
      </c>
      <c r="BB31" s="128">
        <v>3864</v>
      </c>
      <c r="BC31" s="128">
        <v>3880</v>
      </c>
      <c r="BD31" s="128">
        <v>1622</v>
      </c>
      <c r="BE31" s="129">
        <f t="shared" si="14"/>
        <v>1622</v>
      </c>
      <c r="BF31" s="128">
        <v>1671</v>
      </c>
      <c r="BG31" s="128">
        <v>2006</v>
      </c>
      <c r="BH31" s="128">
        <v>2335</v>
      </c>
      <c r="BI31" s="128">
        <v>666</v>
      </c>
      <c r="BJ31" s="129">
        <f t="shared" si="5"/>
        <v>666</v>
      </c>
      <c r="BK31" s="128">
        <v>734</v>
      </c>
      <c r="BL31" s="128">
        <v>1775</v>
      </c>
      <c r="BM31" s="128"/>
      <c r="BN31" s="128"/>
      <c r="BO31" s="129">
        <f t="shared" si="6"/>
        <v>1775</v>
      </c>
      <c r="BQ31" s="470"/>
      <c r="BR31" s="84"/>
    </row>
    <row r="32" spans="2:70" ht="14.5">
      <c r="B32" s="103" t="s">
        <v>132</v>
      </c>
      <c r="C32" s="209">
        <v>224</v>
      </c>
      <c r="D32" s="209">
        <v>272</v>
      </c>
      <c r="E32" s="209">
        <v>242</v>
      </c>
      <c r="F32" s="209">
        <v>238</v>
      </c>
      <c r="G32" s="105">
        <v>238</v>
      </c>
      <c r="H32" s="209">
        <v>302</v>
      </c>
      <c r="I32" s="209">
        <v>647</v>
      </c>
      <c r="J32" s="209">
        <v>671</v>
      </c>
      <c r="K32" s="209">
        <v>735</v>
      </c>
      <c r="L32" s="105">
        <v>735</v>
      </c>
      <c r="M32" s="209">
        <v>751</v>
      </c>
      <c r="N32" s="209">
        <v>719</v>
      </c>
      <c r="O32" s="209">
        <v>755</v>
      </c>
      <c r="P32" s="209">
        <v>797</v>
      </c>
      <c r="Q32" s="105">
        <v>797</v>
      </c>
      <c r="R32" s="209">
        <v>756</v>
      </c>
      <c r="S32" s="209">
        <v>777</v>
      </c>
      <c r="T32" s="209">
        <v>779</v>
      </c>
      <c r="U32" s="209">
        <v>2164</v>
      </c>
      <c r="V32" s="105">
        <v>2164</v>
      </c>
      <c r="W32" s="209">
        <v>1688</v>
      </c>
      <c r="X32" s="209">
        <v>1806</v>
      </c>
      <c r="Y32" s="209">
        <v>1807</v>
      </c>
      <c r="Z32" s="209">
        <v>1947</v>
      </c>
      <c r="AA32" s="105">
        <v>1947</v>
      </c>
      <c r="AB32" s="209">
        <v>2046</v>
      </c>
      <c r="AC32" s="209">
        <v>1983</v>
      </c>
      <c r="AD32" s="209">
        <v>1821</v>
      </c>
      <c r="AE32" s="209">
        <v>1874</v>
      </c>
      <c r="AF32" s="105">
        <v>1874</v>
      </c>
      <c r="AG32" s="209">
        <v>1734</v>
      </c>
      <c r="AH32" s="209">
        <v>1694</v>
      </c>
      <c r="AI32" s="209">
        <v>1715</v>
      </c>
      <c r="AJ32" s="209">
        <v>1719</v>
      </c>
      <c r="AK32" s="105">
        <f t="shared" si="11"/>
        <v>1719</v>
      </c>
      <c r="AL32" s="209">
        <v>1826</v>
      </c>
      <c r="AM32" s="209">
        <v>2438</v>
      </c>
      <c r="AN32" s="209">
        <v>2557</v>
      </c>
      <c r="AO32" s="209">
        <v>2494</v>
      </c>
      <c r="AP32" s="105">
        <f t="shared" si="12"/>
        <v>2494</v>
      </c>
      <c r="AQ32" s="209">
        <v>2727</v>
      </c>
      <c r="AR32" s="209">
        <v>2932</v>
      </c>
      <c r="AS32" s="209">
        <v>3000</v>
      </c>
      <c r="AT32" s="209">
        <v>3547</v>
      </c>
      <c r="AU32" s="105">
        <f t="shared" si="2"/>
        <v>3547</v>
      </c>
      <c r="AV32" s="209">
        <v>3168</v>
      </c>
      <c r="AW32" s="209">
        <v>3340</v>
      </c>
      <c r="AX32" s="209">
        <v>3340</v>
      </c>
      <c r="AY32" s="209">
        <v>3325</v>
      </c>
      <c r="AZ32" s="105">
        <f t="shared" si="15"/>
        <v>3325</v>
      </c>
      <c r="BA32" s="209">
        <v>3334</v>
      </c>
      <c r="BB32" s="209">
        <v>3229</v>
      </c>
      <c r="BC32" s="209">
        <v>3518</v>
      </c>
      <c r="BD32" s="209">
        <v>3800</v>
      </c>
      <c r="BE32" s="105">
        <f>BD32</f>
        <v>3800</v>
      </c>
      <c r="BF32" s="209">
        <v>4012</v>
      </c>
      <c r="BG32" s="209">
        <v>3942</v>
      </c>
      <c r="BH32" s="209">
        <v>4103</v>
      </c>
      <c r="BI32" s="209">
        <v>4430</v>
      </c>
      <c r="BJ32" s="105">
        <f t="shared" si="5"/>
        <v>4430</v>
      </c>
      <c r="BK32" s="209">
        <v>3893</v>
      </c>
      <c r="BL32" s="209">
        <v>4002</v>
      </c>
      <c r="BM32" s="209"/>
      <c r="BN32" s="209"/>
      <c r="BO32" s="105">
        <f t="shared" si="6"/>
        <v>4002</v>
      </c>
      <c r="BQ32" s="470"/>
      <c r="BR32" s="84"/>
    </row>
    <row r="33" spans="2:70" ht="13">
      <c r="B33" s="102" t="s">
        <v>133</v>
      </c>
      <c r="C33" s="131">
        <f t="shared" ref="C33:H33" si="16">SUM(C21:C32)</f>
        <v>14327</v>
      </c>
      <c r="D33" s="131">
        <f t="shared" si="16"/>
        <v>14580</v>
      </c>
      <c r="E33" s="131">
        <f t="shared" si="16"/>
        <v>14907</v>
      </c>
      <c r="F33" s="131">
        <f t="shared" si="16"/>
        <v>19156</v>
      </c>
      <c r="G33" s="132">
        <f t="shared" si="16"/>
        <v>19156</v>
      </c>
      <c r="H33" s="131">
        <f t="shared" si="16"/>
        <v>20954</v>
      </c>
      <c r="I33" s="131">
        <f t="shared" ref="I33:P33" si="17">SUM(I21:I32)</f>
        <v>21827</v>
      </c>
      <c r="J33" s="131">
        <f t="shared" si="17"/>
        <v>22511</v>
      </c>
      <c r="K33" s="131">
        <f t="shared" si="17"/>
        <v>23694</v>
      </c>
      <c r="L33" s="132">
        <f t="shared" si="17"/>
        <v>23694</v>
      </c>
      <c r="M33" s="131">
        <f t="shared" si="17"/>
        <v>24146</v>
      </c>
      <c r="N33" s="131">
        <f t="shared" si="17"/>
        <v>24497</v>
      </c>
      <c r="O33" s="131">
        <f t="shared" si="17"/>
        <v>28245</v>
      </c>
      <c r="P33" s="131">
        <f t="shared" si="17"/>
        <v>29650</v>
      </c>
      <c r="Q33" s="132">
        <f>SUM(Q21:Q32)</f>
        <v>29650</v>
      </c>
      <c r="R33" s="131">
        <f t="shared" ref="R33:X33" si="18">SUM(R21:R32)</f>
        <v>29851</v>
      </c>
      <c r="S33" s="131">
        <f t="shared" si="18"/>
        <v>30243</v>
      </c>
      <c r="T33" s="131">
        <f t="shared" si="18"/>
        <v>29742</v>
      </c>
      <c r="U33" s="131">
        <f t="shared" si="18"/>
        <v>29873</v>
      </c>
      <c r="V33" s="132">
        <f t="shared" si="18"/>
        <v>29873</v>
      </c>
      <c r="W33" s="131">
        <f t="shared" si="18"/>
        <v>29623</v>
      </c>
      <c r="X33" s="131">
        <f t="shared" si="18"/>
        <v>29652</v>
      </c>
      <c r="Y33" s="131">
        <f t="shared" ref="Y33:AR33" si="19">SUM(Y21:Y32)</f>
        <v>31087</v>
      </c>
      <c r="Z33" s="131">
        <f t="shared" si="19"/>
        <v>31860</v>
      </c>
      <c r="AA33" s="132">
        <f t="shared" si="19"/>
        <v>31860</v>
      </c>
      <c r="AB33" s="131">
        <f t="shared" si="19"/>
        <v>35918</v>
      </c>
      <c r="AC33" s="131">
        <f t="shared" si="19"/>
        <v>36362</v>
      </c>
      <c r="AD33" s="131">
        <f t="shared" si="19"/>
        <v>35609</v>
      </c>
      <c r="AE33" s="131">
        <f t="shared" si="19"/>
        <v>38192</v>
      </c>
      <c r="AF33" s="132">
        <f t="shared" si="19"/>
        <v>38192</v>
      </c>
      <c r="AG33" s="131">
        <f t="shared" si="19"/>
        <v>40122</v>
      </c>
      <c r="AH33" s="131">
        <f t="shared" si="19"/>
        <v>41253</v>
      </c>
      <c r="AI33" s="131">
        <f t="shared" si="19"/>
        <v>42981</v>
      </c>
      <c r="AJ33" s="131">
        <f t="shared" si="19"/>
        <v>47653</v>
      </c>
      <c r="AK33" s="132">
        <f t="shared" si="19"/>
        <v>47653</v>
      </c>
      <c r="AL33" s="131">
        <f t="shared" si="19"/>
        <v>47694</v>
      </c>
      <c r="AM33" s="131">
        <f t="shared" si="19"/>
        <v>46102</v>
      </c>
      <c r="AN33" s="131">
        <f t="shared" si="19"/>
        <v>48467</v>
      </c>
      <c r="AO33" s="131">
        <f t="shared" si="19"/>
        <v>50700</v>
      </c>
      <c r="AP33" s="132">
        <f t="shared" si="19"/>
        <v>50700</v>
      </c>
      <c r="AQ33" s="131">
        <f t="shared" si="19"/>
        <v>51415</v>
      </c>
      <c r="AR33" s="131">
        <f t="shared" si="19"/>
        <v>52300</v>
      </c>
      <c r="AS33" s="131">
        <f>SUM(AS21:AS32)</f>
        <v>53550</v>
      </c>
      <c r="AT33" s="131">
        <f>SUM(AT21:AT32)</f>
        <v>54935</v>
      </c>
      <c r="AU33" s="132">
        <f t="shared" si="2"/>
        <v>54935</v>
      </c>
      <c r="AV33" s="131">
        <f>SUM(AV21:AV32)</f>
        <v>53848</v>
      </c>
      <c r="AW33" s="131">
        <f>SUM(AW21:AW32)</f>
        <v>53232</v>
      </c>
      <c r="AX33" s="131">
        <f>SUM(AX21:AX32)</f>
        <v>52545</v>
      </c>
      <c r="AY33" s="131">
        <f>SUM(AY21:AY32)</f>
        <v>48382</v>
      </c>
      <c r="AZ33" s="132">
        <f>AY33</f>
        <v>48382</v>
      </c>
      <c r="BA33" s="131">
        <f>SUM(BA21:BA32)</f>
        <v>47964</v>
      </c>
      <c r="BB33" s="131">
        <f>SUM(BB21:BB32)</f>
        <v>52339</v>
      </c>
      <c r="BC33" s="131">
        <f>SUM(BC21:BC32)</f>
        <v>51831</v>
      </c>
      <c r="BD33" s="131">
        <f>SUM(BD21:BD32)</f>
        <v>51804</v>
      </c>
      <c r="BE33" s="132">
        <f>BD33</f>
        <v>51804</v>
      </c>
      <c r="BF33" s="131">
        <f>SUM(BF21:BF32)</f>
        <v>53201</v>
      </c>
      <c r="BG33" s="131">
        <f>SUM(BG21:BG32)</f>
        <v>54613</v>
      </c>
      <c r="BH33" s="131">
        <f>SUM(BH21:BH32)</f>
        <v>52926</v>
      </c>
      <c r="BI33" s="131">
        <f>SUM(BI21:BI32)</f>
        <v>52478</v>
      </c>
      <c r="BJ33" s="132">
        <f t="shared" si="5"/>
        <v>52478</v>
      </c>
      <c r="BK33" s="131">
        <f>SUM(BK21:BK32)</f>
        <v>56364</v>
      </c>
      <c r="BL33" s="131">
        <f>SUM(BL21:BL32)</f>
        <v>57729</v>
      </c>
      <c r="BM33" s="131"/>
      <c r="BN33" s="131"/>
      <c r="BO33" s="132">
        <f t="shared" si="6"/>
        <v>57729</v>
      </c>
      <c r="BQ33" s="470"/>
      <c r="BR33" s="84"/>
    </row>
    <row r="34" spans="2:70" ht="13.5" thickBot="1">
      <c r="B34" s="102" t="s">
        <v>134</v>
      </c>
      <c r="C34" s="133">
        <f t="shared" ref="C34:P34" si="20">C33+C19</f>
        <v>57919</v>
      </c>
      <c r="D34" s="133">
        <f t="shared" si="20"/>
        <v>61680</v>
      </c>
      <c r="E34" s="133">
        <f t="shared" si="20"/>
        <v>63219</v>
      </c>
      <c r="F34" s="133">
        <f t="shared" si="20"/>
        <v>66352</v>
      </c>
      <c r="G34" s="134">
        <f t="shared" si="20"/>
        <v>66352</v>
      </c>
      <c r="H34" s="133">
        <f t="shared" si="20"/>
        <v>67384</v>
      </c>
      <c r="I34" s="133">
        <f t="shared" si="20"/>
        <v>70906</v>
      </c>
      <c r="J34" s="133">
        <f t="shared" si="20"/>
        <v>71264</v>
      </c>
      <c r="K34" s="133">
        <f t="shared" si="20"/>
        <v>75389</v>
      </c>
      <c r="L34" s="134">
        <f t="shared" si="20"/>
        <v>75389</v>
      </c>
      <c r="M34" s="133">
        <f t="shared" si="20"/>
        <v>76419</v>
      </c>
      <c r="N34" s="133">
        <f t="shared" si="20"/>
        <v>79106</v>
      </c>
      <c r="O34" s="133">
        <f t="shared" si="20"/>
        <v>80640</v>
      </c>
      <c r="P34" s="133">
        <f t="shared" si="20"/>
        <v>83355</v>
      </c>
      <c r="Q34" s="134">
        <f>Q33+Q19</f>
        <v>83355</v>
      </c>
      <c r="R34" s="133">
        <f t="shared" ref="R34:X34" si="21">R33+R19</f>
        <v>85125</v>
      </c>
      <c r="S34" s="133">
        <f t="shared" si="21"/>
        <v>88478</v>
      </c>
      <c r="T34" s="133">
        <f t="shared" si="21"/>
        <v>75955</v>
      </c>
      <c r="U34" s="133">
        <f t="shared" si="21"/>
        <v>79890</v>
      </c>
      <c r="V34" s="134">
        <f t="shared" si="21"/>
        <v>79890</v>
      </c>
      <c r="W34" s="133">
        <f t="shared" si="21"/>
        <v>78103</v>
      </c>
      <c r="X34" s="133">
        <f t="shared" si="21"/>
        <v>81825</v>
      </c>
      <c r="Y34" s="133">
        <f t="shared" ref="Y34:AR34" si="22">Y33+Y19</f>
        <v>82849</v>
      </c>
      <c r="Z34" s="133">
        <f t="shared" si="22"/>
        <v>84738</v>
      </c>
      <c r="AA34" s="134">
        <f t="shared" si="22"/>
        <v>84738</v>
      </c>
      <c r="AB34" s="133">
        <f t="shared" si="22"/>
        <v>85702</v>
      </c>
      <c r="AC34" s="133">
        <f t="shared" si="22"/>
        <v>85211</v>
      </c>
      <c r="AD34" s="133">
        <f t="shared" si="22"/>
        <v>86449</v>
      </c>
      <c r="AE34" s="133">
        <f t="shared" si="22"/>
        <v>92768</v>
      </c>
      <c r="AF34" s="134">
        <f t="shared" si="22"/>
        <v>92768</v>
      </c>
      <c r="AG34" s="133">
        <f t="shared" si="22"/>
        <v>98439</v>
      </c>
      <c r="AH34" s="133">
        <f t="shared" si="22"/>
        <v>98578</v>
      </c>
      <c r="AI34" s="133">
        <f t="shared" si="22"/>
        <v>101343</v>
      </c>
      <c r="AJ34" s="133">
        <f t="shared" si="22"/>
        <v>108386</v>
      </c>
      <c r="AK34" s="134">
        <f t="shared" si="22"/>
        <v>108386</v>
      </c>
      <c r="AL34" s="133">
        <f t="shared" si="22"/>
        <v>109486</v>
      </c>
      <c r="AM34" s="133">
        <f t="shared" si="22"/>
        <v>106110</v>
      </c>
      <c r="AN34" s="133">
        <f t="shared" si="22"/>
        <v>109077</v>
      </c>
      <c r="AO34" s="133">
        <f t="shared" si="22"/>
        <v>117885</v>
      </c>
      <c r="AP34" s="134">
        <f t="shared" si="22"/>
        <v>117885</v>
      </c>
      <c r="AQ34" s="133">
        <f t="shared" si="22"/>
        <v>119979</v>
      </c>
      <c r="AR34" s="133">
        <f t="shared" si="22"/>
        <v>127231</v>
      </c>
      <c r="AS34" s="133">
        <f>AS33+AS19</f>
        <v>125966</v>
      </c>
      <c r="AT34" s="133">
        <f>AT33+AT19</f>
        <v>125816</v>
      </c>
      <c r="AU34" s="134">
        <f t="shared" si="2"/>
        <v>125816</v>
      </c>
      <c r="AV34" s="133">
        <f>AV19+AV33</f>
        <v>131322</v>
      </c>
      <c r="AW34" s="133">
        <f>AW19+AW33</f>
        <v>130299</v>
      </c>
      <c r="AX34" s="133">
        <f>AX19+AX33</f>
        <v>129866</v>
      </c>
      <c r="AY34" s="133">
        <f>AY19+AY33</f>
        <v>137814</v>
      </c>
      <c r="AZ34" s="134">
        <f t="shared" si="15"/>
        <v>137814</v>
      </c>
      <c r="BA34" s="133">
        <f>BA19+BA33</f>
        <v>144019</v>
      </c>
      <c r="BB34" s="133">
        <f>BB19+BB33</f>
        <v>141870</v>
      </c>
      <c r="BC34" s="133">
        <f>BC19+BC33</f>
        <v>139486</v>
      </c>
      <c r="BD34" s="133">
        <f>BD19+BD33</f>
        <v>148903</v>
      </c>
      <c r="BE34" s="134">
        <f>BD34</f>
        <v>148903</v>
      </c>
      <c r="BF34" s="133">
        <f>BF19+BF33</f>
        <v>149619</v>
      </c>
      <c r="BG34" s="133">
        <f>BG19+BG33</f>
        <v>160380</v>
      </c>
      <c r="BH34" s="133">
        <f>BH19+BH33</f>
        <v>143384</v>
      </c>
      <c r="BI34" s="133">
        <f>BI19+BI33</f>
        <v>155967</v>
      </c>
      <c r="BJ34" s="134">
        <f t="shared" si="5"/>
        <v>155967</v>
      </c>
      <c r="BK34" s="133">
        <f>BK19+BK33</f>
        <v>154858</v>
      </c>
      <c r="BL34" s="133">
        <f>BL19+BL33</f>
        <v>163480</v>
      </c>
      <c r="BM34" s="133"/>
      <c r="BN34" s="133"/>
      <c r="BO34" s="134">
        <f t="shared" si="6"/>
        <v>163480</v>
      </c>
      <c r="BQ34" s="470"/>
      <c r="BR34" s="84"/>
    </row>
    <row r="35" spans="2:70" ht="13">
      <c r="B35" s="103"/>
      <c r="C35" s="128"/>
      <c r="D35" s="128"/>
      <c r="E35" s="128"/>
      <c r="F35" s="128"/>
      <c r="G35" s="129"/>
      <c r="H35" s="128"/>
      <c r="I35" s="128"/>
      <c r="J35" s="128"/>
      <c r="K35" s="128"/>
      <c r="L35" s="129"/>
      <c r="M35" s="128"/>
      <c r="N35" s="128"/>
      <c r="O35" s="128"/>
      <c r="P35" s="128"/>
      <c r="Q35" s="129"/>
      <c r="R35" s="128"/>
      <c r="S35" s="128"/>
      <c r="T35" s="128"/>
      <c r="U35" s="128"/>
      <c r="V35" s="129"/>
      <c r="W35" s="128"/>
      <c r="X35" s="128"/>
      <c r="Y35" s="128"/>
      <c r="Z35" s="128"/>
      <c r="AA35" s="129"/>
      <c r="AB35" s="128"/>
      <c r="AC35" s="128"/>
      <c r="AD35" s="128"/>
      <c r="AE35" s="128"/>
      <c r="AF35" s="129"/>
      <c r="AG35" s="128"/>
      <c r="AH35" s="128"/>
      <c r="AI35" s="128"/>
      <c r="AJ35" s="128"/>
      <c r="AK35" s="129"/>
      <c r="AL35" s="128"/>
      <c r="AM35" s="128"/>
      <c r="AN35" s="128"/>
      <c r="AO35" s="128"/>
      <c r="AP35" s="129"/>
      <c r="AQ35" s="128"/>
      <c r="AR35" s="128"/>
      <c r="AS35" s="128"/>
      <c r="AT35" s="128"/>
      <c r="AU35" s="129"/>
      <c r="AV35" s="128"/>
      <c r="AW35" s="128"/>
      <c r="AX35" s="128"/>
      <c r="AY35" s="128"/>
      <c r="AZ35" s="129"/>
      <c r="BA35" s="128"/>
      <c r="BB35" s="128"/>
      <c r="BC35" s="128"/>
      <c r="BD35" s="128"/>
      <c r="BE35" s="129"/>
      <c r="BF35" s="128"/>
      <c r="BG35" s="128"/>
      <c r="BH35" s="128"/>
      <c r="BI35" s="128"/>
      <c r="BJ35" s="129"/>
      <c r="BK35" s="128"/>
      <c r="BL35" s="128"/>
      <c r="BM35" s="128"/>
      <c r="BN35" s="128"/>
      <c r="BO35" s="129"/>
      <c r="BQ35" s="470"/>
      <c r="BR35" s="84"/>
    </row>
    <row r="36" spans="2:70" ht="13">
      <c r="B36" s="102" t="s">
        <v>135</v>
      </c>
      <c r="C36" s="128"/>
      <c r="D36" s="128"/>
      <c r="E36" s="128"/>
      <c r="F36" s="128"/>
      <c r="G36" s="129"/>
      <c r="H36" s="128"/>
      <c r="I36" s="128"/>
      <c r="J36" s="128"/>
      <c r="K36" s="128"/>
      <c r="L36" s="129"/>
      <c r="M36" s="128"/>
      <c r="N36" s="128"/>
      <c r="O36" s="128"/>
      <c r="P36" s="128"/>
      <c r="Q36" s="129"/>
      <c r="R36" s="128"/>
      <c r="S36" s="128"/>
      <c r="T36" s="128"/>
      <c r="U36" s="128"/>
      <c r="V36" s="129"/>
      <c r="W36" s="128"/>
      <c r="X36" s="128"/>
      <c r="Y36" s="128"/>
      <c r="Z36" s="128"/>
      <c r="AA36" s="129"/>
      <c r="AB36" s="128"/>
      <c r="AC36" s="128"/>
      <c r="AD36" s="128"/>
      <c r="AE36" s="128"/>
      <c r="AF36" s="129"/>
      <c r="AG36" s="128"/>
      <c r="AH36" s="128"/>
      <c r="AI36" s="128"/>
      <c r="AJ36" s="128"/>
      <c r="AK36" s="129"/>
      <c r="AL36" s="128"/>
      <c r="AM36" s="128"/>
      <c r="AN36" s="128"/>
      <c r="AO36" s="128"/>
      <c r="AP36" s="129"/>
      <c r="AQ36" s="128"/>
      <c r="AR36" s="128"/>
      <c r="AS36" s="128"/>
      <c r="AT36" s="128"/>
      <c r="AU36" s="129"/>
      <c r="AV36" s="128"/>
      <c r="AW36" s="128"/>
      <c r="AX36" s="128"/>
      <c r="AY36" s="128"/>
      <c r="AZ36" s="129"/>
      <c r="BA36" s="128"/>
      <c r="BB36" s="128"/>
      <c r="BC36" s="128"/>
      <c r="BD36" s="128"/>
      <c r="BE36" s="129"/>
      <c r="BF36" s="128"/>
      <c r="BG36" s="128"/>
      <c r="BH36" s="128"/>
      <c r="BI36" s="128"/>
      <c r="BJ36" s="129"/>
      <c r="BK36" s="128"/>
      <c r="BL36" s="128"/>
      <c r="BM36" s="128"/>
      <c r="BN36" s="128"/>
      <c r="BO36" s="129"/>
      <c r="BQ36" s="470"/>
      <c r="BR36" s="84"/>
    </row>
    <row r="37" spans="2:70" ht="13">
      <c r="B37" s="102" t="s">
        <v>136</v>
      </c>
      <c r="C37" s="128"/>
      <c r="D37" s="128"/>
      <c r="E37" s="128"/>
      <c r="F37" s="128"/>
      <c r="G37" s="129"/>
      <c r="H37" s="128"/>
      <c r="I37" s="128"/>
      <c r="J37" s="128"/>
      <c r="K37" s="128"/>
      <c r="L37" s="129"/>
      <c r="M37" s="128"/>
      <c r="N37" s="128"/>
      <c r="O37" s="128"/>
      <c r="P37" s="128"/>
      <c r="Q37" s="129"/>
      <c r="R37" s="128"/>
      <c r="S37" s="128"/>
      <c r="T37" s="128"/>
      <c r="U37" s="128"/>
      <c r="V37" s="129"/>
      <c r="W37" s="128"/>
      <c r="X37" s="128"/>
      <c r="Y37" s="128"/>
      <c r="Z37" s="128"/>
      <c r="AA37" s="129"/>
      <c r="AB37" s="128"/>
      <c r="AC37" s="128"/>
      <c r="AD37" s="128"/>
      <c r="AE37" s="128"/>
      <c r="AF37" s="129"/>
      <c r="AG37" s="128"/>
      <c r="AH37" s="128"/>
      <c r="AI37" s="128"/>
      <c r="AJ37" s="128"/>
      <c r="AK37" s="129"/>
      <c r="AL37" s="128"/>
      <c r="AM37" s="128"/>
      <c r="AN37" s="128"/>
      <c r="AO37" s="128"/>
      <c r="AP37" s="129"/>
      <c r="AQ37" s="128"/>
      <c r="AR37" s="128"/>
      <c r="AS37" s="128"/>
      <c r="AT37" s="128"/>
      <c r="AU37" s="129"/>
      <c r="AV37" s="128"/>
      <c r="AW37" s="128"/>
      <c r="AX37" s="128"/>
      <c r="AY37" s="128"/>
      <c r="AZ37" s="129"/>
      <c r="BA37" s="128"/>
      <c r="BB37" s="128"/>
      <c r="BC37" s="128"/>
      <c r="BD37" s="128"/>
      <c r="BE37" s="129"/>
      <c r="BF37" s="128"/>
      <c r="BG37" s="128"/>
      <c r="BH37" s="128"/>
      <c r="BI37" s="128"/>
      <c r="BJ37" s="129"/>
      <c r="BK37" s="128"/>
      <c r="BL37" s="128"/>
      <c r="BM37" s="128"/>
      <c r="BN37" s="128"/>
      <c r="BO37" s="129"/>
      <c r="BQ37" s="470"/>
      <c r="BR37" s="84"/>
    </row>
    <row r="38" spans="2:70" ht="13">
      <c r="B38" s="103" t="s">
        <v>137</v>
      </c>
      <c r="C38" s="128">
        <v>105</v>
      </c>
      <c r="D38" s="128">
        <v>135</v>
      </c>
      <c r="E38" s="128">
        <v>175</v>
      </c>
      <c r="F38" s="128">
        <v>140</v>
      </c>
      <c r="G38" s="129">
        <v>140</v>
      </c>
      <c r="H38" s="128">
        <v>196</v>
      </c>
      <c r="I38" s="128">
        <v>110</v>
      </c>
      <c r="J38" s="128">
        <v>131</v>
      </c>
      <c r="K38" s="128">
        <v>386</v>
      </c>
      <c r="L38" s="129">
        <v>386</v>
      </c>
      <c r="M38" s="128">
        <v>262</v>
      </c>
      <c r="N38" s="128">
        <v>307</v>
      </c>
      <c r="O38" s="128">
        <v>335</v>
      </c>
      <c r="P38" s="128">
        <v>367</v>
      </c>
      <c r="Q38" s="129">
        <v>367</v>
      </c>
      <c r="R38" s="128">
        <v>260</v>
      </c>
      <c r="S38" s="128">
        <v>538</v>
      </c>
      <c r="T38" s="128">
        <v>502</v>
      </c>
      <c r="U38" s="128">
        <v>694</v>
      </c>
      <c r="V38" s="129">
        <v>694</v>
      </c>
      <c r="W38" s="128">
        <v>798</v>
      </c>
      <c r="X38" s="128">
        <v>1193</v>
      </c>
      <c r="Y38" s="128">
        <v>1525</v>
      </c>
      <c r="Z38" s="128">
        <v>1655</v>
      </c>
      <c r="AA38" s="129">
        <v>1655</v>
      </c>
      <c r="AB38" s="128">
        <v>2185</v>
      </c>
      <c r="AC38" s="128">
        <v>2134</v>
      </c>
      <c r="AD38" s="128">
        <v>1876</v>
      </c>
      <c r="AE38" s="128">
        <v>2852</v>
      </c>
      <c r="AF38" s="129">
        <v>2852</v>
      </c>
      <c r="AG38" s="128">
        <v>2762</v>
      </c>
      <c r="AH38" s="128">
        <v>2375</v>
      </c>
      <c r="AI38" s="128">
        <v>2479</v>
      </c>
      <c r="AJ38" s="128">
        <v>2645</v>
      </c>
      <c r="AK38" s="129">
        <f t="shared" ref="AK38:AK46" si="23">AJ38</f>
        <v>2645</v>
      </c>
      <c r="AL38" s="128">
        <v>2668</v>
      </c>
      <c r="AM38" s="128">
        <v>3176</v>
      </c>
      <c r="AN38" s="128">
        <v>3762</v>
      </c>
      <c r="AO38" s="128">
        <v>4134</v>
      </c>
      <c r="AP38" s="129">
        <f>AO38</f>
        <v>4134</v>
      </c>
      <c r="AQ38" s="128">
        <v>3957</v>
      </c>
      <c r="AR38" s="128">
        <v>4162</v>
      </c>
      <c r="AS38" s="128">
        <v>4788</v>
      </c>
      <c r="AT38" s="128">
        <v>3865</v>
      </c>
      <c r="AU38" s="129">
        <f t="shared" si="2"/>
        <v>3865</v>
      </c>
      <c r="AV38" s="128">
        <v>3759</v>
      </c>
      <c r="AW38" s="128">
        <v>3203</v>
      </c>
      <c r="AX38" s="128">
        <v>3825</v>
      </c>
      <c r="AY38" s="128">
        <v>3956</v>
      </c>
      <c r="AZ38" s="129">
        <f>AY38</f>
        <v>3956</v>
      </c>
      <c r="BA38" s="128">
        <v>3693</v>
      </c>
      <c r="BB38" s="128">
        <v>3841</v>
      </c>
      <c r="BC38" s="128">
        <v>3675</v>
      </c>
      <c r="BD38" s="128">
        <v>4164</v>
      </c>
      <c r="BE38" s="129">
        <f>BD38</f>
        <v>4164</v>
      </c>
      <c r="BF38" s="128">
        <v>3616</v>
      </c>
      <c r="BG38" s="128">
        <v>3839</v>
      </c>
      <c r="BH38" s="128">
        <v>4826</v>
      </c>
      <c r="BI38" s="128">
        <v>4744</v>
      </c>
      <c r="BJ38" s="129">
        <f t="shared" si="5"/>
        <v>4744</v>
      </c>
      <c r="BK38" s="128">
        <v>4387</v>
      </c>
      <c r="BL38" s="128">
        <v>4498</v>
      </c>
      <c r="BM38" s="128"/>
      <c r="BN38" s="128"/>
      <c r="BO38" s="129">
        <f t="shared" si="6"/>
        <v>4498</v>
      </c>
      <c r="BQ38" s="470"/>
      <c r="BR38" s="84"/>
    </row>
    <row r="39" spans="2:70" ht="13">
      <c r="B39" s="103" t="s">
        <v>138</v>
      </c>
      <c r="C39" s="128"/>
      <c r="D39" s="128"/>
      <c r="E39" s="128"/>
      <c r="F39" s="128"/>
      <c r="G39" s="129"/>
      <c r="H39" s="128"/>
      <c r="I39" s="128"/>
      <c r="J39" s="128"/>
      <c r="K39" s="128"/>
      <c r="L39" s="129"/>
      <c r="M39" s="128"/>
      <c r="N39" s="128"/>
      <c r="O39" s="128"/>
      <c r="P39" s="128"/>
      <c r="Q39" s="129"/>
      <c r="R39" s="128"/>
      <c r="S39" s="128"/>
      <c r="T39" s="128"/>
      <c r="U39" s="128"/>
      <c r="V39" s="129"/>
      <c r="W39" s="128"/>
      <c r="X39" s="128"/>
      <c r="Y39" s="128"/>
      <c r="Z39" s="128"/>
      <c r="AA39" s="129"/>
      <c r="AB39" s="128">
        <v>494</v>
      </c>
      <c r="AC39" s="128">
        <v>515</v>
      </c>
      <c r="AD39" s="128">
        <v>568</v>
      </c>
      <c r="AE39" s="128">
        <v>619</v>
      </c>
      <c r="AF39" s="129">
        <v>619</v>
      </c>
      <c r="AG39" s="128">
        <v>657</v>
      </c>
      <c r="AH39" s="128">
        <v>647</v>
      </c>
      <c r="AI39" s="128">
        <v>675</v>
      </c>
      <c r="AJ39" s="128">
        <v>738</v>
      </c>
      <c r="AK39" s="129">
        <f t="shared" si="23"/>
        <v>738</v>
      </c>
      <c r="AL39" s="128">
        <v>740</v>
      </c>
      <c r="AM39" s="128">
        <v>788</v>
      </c>
      <c r="AN39" s="128">
        <v>831</v>
      </c>
      <c r="AO39" s="128">
        <v>872</v>
      </c>
      <c r="AP39" s="129">
        <f t="shared" ref="AP39:AP46" si="24">AO39</f>
        <v>872</v>
      </c>
      <c r="AQ39" s="128">
        <v>883</v>
      </c>
      <c r="AR39" s="128">
        <v>950</v>
      </c>
      <c r="AS39" s="128">
        <v>1143</v>
      </c>
      <c r="AT39" s="128">
        <v>1242</v>
      </c>
      <c r="AU39" s="129">
        <f t="shared" si="2"/>
        <v>1242</v>
      </c>
      <c r="AV39" s="128">
        <v>1824</v>
      </c>
      <c r="AW39" s="128">
        <v>1920</v>
      </c>
      <c r="AX39" s="128">
        <v>2074</v>
      </c>
      <c r="AY39" s="128">
        <v>1959</v>
      </c>
      <c r="AZ39" s="129">
        <f t="shared" ref="AZ39:AZ45" si="25">AY39</f>
        <v>1959</v>
      </c>
      <c r="BA39" s="128">
        <v>2187</v>
      </c>
      <c r="BB39" s="128">
        <v>2468</v>
      </c>
      <c r="BC39" s="128">
        <v>2506</v>
      </c>
      <c r="BD39" s="128">
        <v>2455</v>
      </c>
      <c r="BE39" s="129">
        <f t="shared" ref="BE39:BE45" si="26">BD39</f>
        <v>2455</v>
      </c>
      <c r="BF39" s="128">
        <v>2542</v>
      </c>
      <c r="BG39" s="128">
        <v>2772</v>
      </c>
      <c r="BH39" s="128">
        <v>2985</v>
      </c>
      <c r="BI39" s="128">
        <v>3160</v>
      </c>
      <c r="BJ39" s="129">
        <f t="shared" si="5"/>
        <v>3160</v>
      </c>
      <c r="BK39" s="128">
        <v>3407</v>
      </c>
      <c r="BL39" s="128">
        <v>3583</v>
      </c>
      <c r="BM39" s="128"/>
      <c r="BN39" s="128"/>
      <c r="BO39" s="129">
        <f t="shared" si="6"/>
        <v>3583</v>
      </c>
      <c r="BQ39" s="470"/>
      <c r="BR39" s="84"/>
    </row>
    <row r="40" spans="2:70" ht="13">
      <c r="B40" s="103" t="s">
        <v>116</v>
      </c>
      <c r="C40" s="89">
        <v>0</v>
      </c>
      <c r="D40" s="128">
        <v>25</v>
      </c>
      <c r="E40" s="128">
        <v>31</v>
      </c>
      <c r="F40" s="128">
        <v>3</v>
      </c>
      <c r="G40" s="129">
        <v>3</v>
      </c>
      <c r="H40" s="89">
        <v>6</v>
      </c>
      <c r="I40" s="128">
        <v>18</v>
      </c>
      <c r="J40" s="128">
        <v>8</v>
      </c>
      <c r="K40" s="128">
        <v>5</v>
      </c>
      <c r="L40" s="129">
        <v>5</v>
      </c>
      <c r="M40" s="89">
        <v>7</v>
      </c>
      <c r="N40" s="128">
        <v>2</v>
      </c>
      <c r="O40" s="128">
        <v>6</v>
      </c>
      <c r="P40" s="128">
        <v>2</v>
      </c>
      <c r="Q40" s="129">
        <v>2</v>
      </c>
      <c r="R40" s="128">
        <v>45</v>
      </c>
      <c r="S40" s="128">
        <v>65</v>
      </c>
      <c r="T40" s="128">
        <v>10</v>
      </c>
      <c r="U40" s="128">
        <v>42</v>
      </c>
      <c r="V40" s="129">
        <v>42</v>
      </c>
      <c r="W40" s="128">
        <v>136</v>
      </c>
      <c r="X40" s="128">
        <v>310</v>
      </c>
      <c r="Y40" s="89">
        <v>0</v>
      </c>
      <c r="Z40" s="128">
        <v>15</v>
      </c>
      <c r="AA40" s="129">
        <v>15</v>
      </c>
      <c r="AB40" s="128">
        <v>20</v>
      </c>
      <c r="AC40" s="128">
        <v>38</v>
      </c>
      <c r="AD40" s="89">
        <v>90</v>
      </c>
      <c r="AE40" s="128">
        <v>491</v>
      </c>
      <c r="AF40" s="129">
        <v>491</v>
      </c>
      <c r="AG40" s="128">
        <v>84</v>
      </c>
      <c r="AH40" s="128">
        <v>22</v>
      </c>
      <c r="AI40" s="128">
        <v>38</v>
      </c>
      <c r="AJ40" s="128">
        <v>56</v>
      </c>
      <c r="AK40" s="129">
        <f t="shared" si="23"/>
        <v>56</v>
      </c>
      <c r="AL40" s="128">
        <v>50</v>
      </c>
      <c r="AM40" s="128">
        <v>44</v>
      </c>
      <c r="AN40" s="128">
        <v>48</v>
      </c>
      <c r="AO40" s="128">
        <v>61</v>
      </c>
      <c r="AP40" s="129">
        <f t="shared" si="24"/>
        <v>61</v>
      </c>
      <c r="AQ40" s="128">
        <v>223</v>
      </c>
      <c r="AR40" s="128">
        <v>249</v>
      </c>
      <c r="AS40" s="128">
        <v>225</v>
      </c>
      <c r="AT40" s="128">
        <v>78</v>
      </c>
      <c r="AU40" s="129">
        <f t="shared" si="2"/>
        <v>78</v>
      </c>
      <c r="AV40" s="128">
        <v>52</v>
      </c>
      <c r="AW40" s="128">
        <v>77</v>
      </c>
      <c r="AX40" s="128">
        <v>144</v>
      </c>
      <c r="AY40" s="128">
        <v>31</v>
      </c>
      <c r="AZ40" s="129">
        <f t="shared" si="25"/>
        <v>31</v>
      </c>
      <c r="BA40" s="128">
        <v>28</v>
      </c>
      <c r="BB40" s="128">
        <v>163</v>
      </c>
      <c r="BC40" s="128">
        <v>169</v>
      </c>
      <c r="BD40" s="128">
        <v>63</v>
      </c>
      <c r="BE40" s="129">
        <f t="shared" si="26"/>
        <v>63</v>
      </c>
      <c r="BF40" s="128">
        <v>292</v>
      </c>
      <c r="BG40" s="128">
        <v>498</v>
      </c>
      <c r="BH40" s="128">
        <v>392</v>
      </c>
      <c r="BI40" s="128">
        <v>593</v>
      </c>
      <c r="BJ40" s="129">
        <f t="shared" si="5"/>
        <v>593</v>
      </c>
      <c r="BK40" s="128">
        <v>44</v>
      </c>
      <c r="BL40" s="128">
        <v>65</v>
      </c>
      <c r="BM40" s="128"/>
      <c r="BN40" s="128"/>
      <c r="BO40" s="129">
        <f t="shared" si="6"/>
        <v>65</v>
      </c>
      <c r="BQ40" s="470"/>
      <c r="BR40" s="84"/>
    </row>
    <row r="41" spans="2:70" ht="13">
      <c r="B41" s="103" t="s">
        <v>139</v>
      </c>
      <c r="C41" s="128">
        <v>2655</v>
      </c>
      <c r="D41" s="128">
        <v>2679</v>
      </c>
      <c r="E41" s="128">
        <v>2654</v>
      </c>
      <c r="F41" s="128">
        <v>2818</v>
      </c>
      <c r="G41" s="129">
        <v>2818</v>
      </c>
      <c r="H41" s="128">
        <v>3162</v>
      </c>
      <c r="I41" s="128">
        <v>3118</v>
      </c>
      <c r="J41" s="128">
        <v>2967</v>
      </c>
      <c r="K41" s="128">
        <v>3410</v>
      </c>
      <c r="L41" s="129">
        <v>3410</v>
      </c>
      <c r="M41" s="128">
        <v>4109</v>
      </c>
      <c r="N41" s="128">
        <v>3851</v>
      </c>
      <c r="O41" s="128">
        <v>3879</v>
      </c>
      <c r="P41" s="128">
        <v>3885</v>
      </c>
      <c r="Q41" s="129">
        <v>3885</v>
      </c>
      <c r="R41" s="128">
        <v>4539</v>
      </c>
      <c r="S41" s="128">
        <v>4570</v>
      </c>
      <c r="T41" s="128">
        <v>2536</v>
      </c>
      <c r="U41" s="128">
        <v>2043</v>
      </c>
      <c r="V41" s="129">
        <v>2043</v>
      </c>
      <c r="W41" s="128">
        <v>2032</v>
      </c>
      <c r="X41" s="128">
        <v>1448</v>
      </c>
      <c r="Y41" s="128">
        <v>1722</v>
      </c>
      <c r="Z41" s="128">
        <v>1567</v>
      </c>
      <c r="AA41" s="129">
        <v>1567</v>
      </c>
      <c r="AB41" s="128">
        <v>2104</v>
      </c>
      <c r="AC41" s="128">
        <v>1528</v>
      </c>
      <c r="AD41" s="128">
        <v>1544</v>
      </c>
      <c r="AE41" s="128">
        <v>1490</v>
      </c>
      <c r="AF41" s="129">
        <v>1490</v>
      </c>
      <c r="AG41" s="128">
        <v>2161</v>
      </c>
      <c r="AH41" s="128">
        <v>1593</v>
      </c>
      <c r="AI41" s="128">
        <v>1533</v>
      </c>
      <c r="AJ41" s="128">
        <v>2146</v>
      </c>
      <c r="AK41" s="129">
        <f t="shared" si="23"/>
        <v>2146</v>
      </c>
      <c r="AL41" s="128">
        <v>2896</v>
      </c>
      <c r="AM41" s="128">
        <v>2455</v>
      </c>
      <c r="AN41" s="128">
        <v>2532</v>
      </c>
      <c r="AO41" s="128">
        <v>2607</v>
      </c>
      <c r="AP41" s="129">
        <f t="shared" si="24"/>
        <v>2607</v>
      </c>
      <c r="AQ41" s="128">
        <v>3616</v>
      </c>
      <c r="AR41" s="128">
        <v>3224</v>
      </c>
      <c r="AS41" s="128">
        <v>3168</v>
      </c>
      <c r="AT41" s="128">
        <v>3384</v>
      </c>
      <c r="AU41" s="129">
        <f t="shared" si="2"/>
        <v>3384</v>
      </c>
      <c r="AV41" s="128">
        <v>4781</v>
      </c>
      <c r="AW41" s="128">
        <v>4188</v>
      </c>
      <c r="AX41" s="128">
        <v>4019</v>
      </c>
      <c r="AY41" s="128">
        <v>3585</v>
      </c>
      <c r="AZ41" s="129">
        <f t="shared" si="25"/>
        <v>3585</v>
      </c>
      <c r="BA41" s="128">
        <v>4494</v>
      </c>
      <c r="BB41" s="128">
        <v>4391</v>
      </c>
      <c r="BC41" s="128">
        <v>4497</v>
      </c>
      <c r="BD41" s="128">
        <v>4853</v>
      </c>
      <c r="BE41" s="129">
        <f t="shared" si="26"/>
        <v>4853</v>
      </c>
      <c r="BF41" s="128">
        <v>6065</v>
      </c>
      <c r="BG41" s="128">
        <v>5593</v>
      </c>
      <c r="BH41" s="128">
        <v>5497</v>
      </c>
      <c r="BI41" s="128">
        <v>5644</v>
      </c>
      <c r="BJ41" s="129">
        <f t="shared" si="5"/>
        <v>5644</v>
      </c>
      <c r="BK41" s="128">
        <v>6948</v>
      </c>
      <c r="BL41" s="128">
        <v>6553</v>
      </c>
      <c r="BM41" s="128"/>
      <c r="BN41" s="128"/>
      <c r="BO41" s="129">
        <f t="shared" si="6"/>
        <v>6553</v>
      </c>
      <c r="BQ41" s="470"/>
      <c r="BR41" s="84"/>
    </row>
    <row r="42" spans="2:70" ht="13">
      <c r="B42" s="103" t="s">
        <v>140</v>
      </c>
      <c r="C42" s="128">
        <v>39</v>
      </c>
      <c r="D42" s="128">
        <v>25</v>
      </c>
      <c r="E42" s="128">
        <v>22</v>
      </c>
      <c r="F42" s="128">
        <v>27</v>
      </c>
      <c r="G42" s="129">
        <v>27</v>
      </c>
      <c r="H42" s="128">
        <v>21</v>
      </c>
      <c r="I42" s="128">
        <v>22</v>
      </c>
      <c r="J42" s="128">
        <v>36</v>
      </c>
      <c r="K42" s="128">
        <v>28</v>
      </c>
      <c r="L42" s="129">
        <v>28</v>
      </c>
      <c r="M42" s="128">
        <v>26</v>
      </c>
      <c r="N42" s="128">
        <v>11</v>
      </c>
      <c r="O42" s="128">
        <v>27</v>
      </c>
      <c r="P42" s="128">
        <v>32</v>
      </c>
      <c r="Q42" s="129">
        <v>32</v>
      </c>
      <c r="R42" s="128">
        <v>16</v>
      </c>
      <c r="S42" s="128">
        <v>12</v>
      </c>
      <c r="T42" s="128">
        <v>151</v>
      </c>
      <c r="U42" s="128">
        <v>38</v>
      </c>
      <c r="V42" s="129">
        <v>38</v>
      </c>
      <c r="W42" s="128">
        <v>187</v>
      </c>
      <c r="X42" s="128">
        <v>90</v>
      </c>
      <c r="Y42" s="128">
        <v>31</v>
      </c>
      <c r="Z42" s="128">
        <v>26</v>
      </c>
      <c r="AA42" s="129">
        <v>26</v>
      </c>
      <c r="AB42" s="128">
        <v>26</v>
      </c>
      <c r="AC42" s="128">
        <v>16</v>
      </c>
      <c r="AD42" s="128">
        <v>17</v>
      </c>
      <c r="AE42" s="128">
        <v>18</v>
      </c>
      <c r="AF42" s="129">
        <v>18</v>
      </c>
      <c r="AG42" s="128">
        <v>21</v>
      </c>
      <c r="AH42" s="89">
        <v>0</v>
      </c>
      <c r="AI42" s="89">
        <v>0</v>
      </c>
      <c r="AJ42" s="89">
        <v>0</v>
      </c>
      <c r="AK42" s="152">
        <f t="shared" si="23"/>
        <v>0</v>
      </c>
      <c r="AL42" s="368">
        <f>AK42</f>
        <v>0</v>
      </c>
      <c r="AM42" s="89">
        <v>0</v>
      </c>
      <c r="AN42" s="89">
        <v>0</v>
      </c>
      <c r="AO42" s="89">
        <v>0</v>
      </c>
      <c r="AP42" s="152">
        <f t="shared" si="24"/>
        <v>0</v>
      </c>
      <c r="AQ42" s="368">
        <v>0</v>
      </c>
      <c r="AR42" s="89">
        <v>0</v>
      </c>
      <c r="AS42" s="89">
        <v>0</v>
      </c>
      <c r="AT42" s="89">
        <v>0</v>
      </c>
      <c r="AU42" s="152">
        <f t="shared" si="2"/>
        <v>0</v>
      </c>
      <c r="AV42" s="368">
        <v>0</v>
      </c>
      <c r="AW42" s="89">
        <v>0</v>
      </c>
      <c r="AX42" s="89">
        <v>0</v>
      </c>
      <c r="AY42" s="89">
        <v>0</v>
      </c>
      <c r="AZ42" s="152">
        <f t="shared" si="25"/>
        <v>0</v>
      </c>
      <c r="BA42" s="368">
        <v>0</v>
      </c>
      <c r="BB42" s="89">
        <v>0</v>
      </c>
      <c r="BC42" s="89">
        <v>0</v>
      </c>
      <c r="BD42" s="89">
        <v>0</v>
      </c>
      <c r="BE42" s="66">
        <f>BD42</f>
        <v>0</v>
      </c>
      <c r="BF42" s="89">
        <v>0</v>
      </c>
      <c r="BG42" s="89">
        <v>0</v>
      </c>
      <c r="BH42" s="89">
        <v>0</v>
      </c>
      <c r="BI42" s="89">
        <v>0</v>
      </c>
      <c r="BJ42" s="66">
        <f t="shared" si="5"/>
        <v>0</v>
      </c>
      <c r="BK42" s="89">
        <v>0</v>
      </c>
      <c r="BL42" s="89">
        <v>0</v>
      </c>
      <c r="BM42" s="89"/>
      <c r="BN42" s="89"/>
      <c r="BO42" s="66">
        <f t="shared" si="6"/>
        <v>0</v>
      </c>
      <c r="BQ42" s="470"/>
      <c r="BR42" s="84"/>
    </row>
    <row r="43" spans="2:70" ht="13">
      <c r="B43" s="103" t="s">
        <v>141</v>
      </c>
      <c r="C43" s="128">
        <v>860</v>
      </c>
      <c r="D43" s="128">
        <v>840</v>
      </c>
      <c r="E43" s="128">
        <v>876</v>
      </c>
      <c r="F43" s="128">
        <v>1052</v>
      </c>
      <c r="G43" s="129">
        <v>1052</v>
      </c>
      <c r="H43" s="128">
        <v>1183</v>
      </c>
      <c r="I43" s="128">
        <v>1107</v>
      </c>
      <c r="J43" s="128">
        <v>1393</v>
      </c>
      <c r="K43" s="128">
        <v>1332</v>
      </c>
      <c r="L43" s="129">
        <v>1332</v>
      </c>
      <c r="M43" s="128">
        <v>1539</v>
      </c>
      <c r="N43" s="128">
        <v>1478</v>
      </c>
      <c r="O43" s="128">
        <v>1819</v>
      </c>
      <c r="P43" s="128">
        <v>1777</v>
      </c>
      <c r="Q43" s="129">
        <v>1777</v>
      </c>
      <c r="R43" s="128">
        <v>1998</v>
      </c>
      <c r="S43" s="128">
        <v>1998</v>
      </c>
      <c r="T43" s="128">
        <v>2313</v>
      </c>
      <c r="U43" s="128">
        <v>2295</v>
      </c>
      <c r="V43" s="129">
        <v>2295</v>
      </c>
      <c r="W43" s="128">
        <v>2327</v>
      </c>
      <c r="X43" s="128">
        <v>2405</v>
      </c>
      <c r="Y43" s="128">
        <v>3028</v>
      </c>
      <c r="Z43" s="128">
        <v>2809</v>
      </c>
      <c r="AA43" s="129">
        <v>2809</v>
      </c>
      <c r="AB43" s="128">
        <v>2813</v>
      </c>
      <c r="AC43" s="128">
        <v>2708</v>
      </c>
      <c r="AD43" s="128">
        <v>3124</v>
      </c>
      <c r="AE43" s="128">
        <v>2990</v>
      </c>
      <c r="AF43" s="129">
        <v>2990</v>
      </c>
      <c r="AG43" s="128">
        <v>3099</v>
      </c>
      <c r="AH43" s="128">
        <v>3356</v>
      </c>
      <c r="AI43" s="128">
        <v>3978</v>
      </c>
      <c r="AJ43" s="128">
        <v>4050</v>
      </c>
      <c r="AK43" s="129">
        <f t="shared" si="23"/>
        <v>4050</v>
      </c>
      <c r="AL43" s="128">
        <v>4278</v>
      </c>
      <c r="AM43" s="128">
        <v>4394</v>
      </c>
      <c r="AN43" s="128">
        <v>6192</v>
      </c>
      <c r="AO43" s="128">
        <v>6324</v>
      </c>
      <c r="AP43" s="129">
        <f t="shared" si="24"/>
        <v>6324</v>
      </c>
      <c r="AQ43" s="128">
        <v>6319</v>
      </c>
      <c r="AR43" s="128">
        <v>6953</v>
      </c>
      <c r="AS43" s="128">
        <v>7117</v>
      </c>
      <c r="AT43" s="128">
        <v>7163</v>
      </c>
      <c r="AU43" s="129">
        <f t="shared" si="2"/>
        <v>7163</v>
      </c>
      <c r="AV43" s="128">
        <v>7330</v>
      </c>
      <c r="AW43" s="128">
        <v>7011</v>
      </c>
      <c r="AX43" s="128">
        <v>7674</v>
      </c>
      <c r="AY43" s="128">
        <v>7341</v>
      </c>
      <c r="AZ43" s="129">
        <f t="shared" si="25"/>
        <v>7341</v>
      </c>
      <c r="BA43" s="128">
        <v>6956</v>
      </c>
      <c r="BB43" s="128">
        <v>7209</v>
      </c>
      <c r="BC43" s="128">
        <v>8457</v>
      </c>
      <c r="BD43" s="128">
        <v>8492</v>
      </c>
      <c r="BE43" s="129">
        <f t="shared" si="26"/>
        <v>8492</v>
      </c>
      <c r="BF43" s="128">
        <v>8527</v>
      </c>
      <c r="BG43" s="128">
        <v>9022</v>
      </c>
      <c r="BH43" s="128">
        <v>11103</v>
      </c>
      <c r="BI43" s="128">
        <v>11838</v>
      </c>
      <c r="BJ43" s="129">
        <f t="shared" si="5"/>
        <v>11838</v>
      </c>
      <c r="BK43" s="128">
        <v>11571</v>
      </c>
      <c r="BL43" s="128">
        <v>11823</v>
      </c>
      <c r="BM43" s="128"/>
      <c r="BN43" s="128"/>
      <c r="BO43" s="129">
        <f t="shared" si="6"/>
        <v>11823</v>
      </c>
      <c r="BQ43" s="470"/>
      <c r="BR43" s="84"/>
    </row>
    <row r="44" spans="2:70" ht="13">
      <c r="B44" s="103" t="s">
        <v>142</v>
      </c>
      <c r="C44" s="128">
        <v>1052</v>
      </c>
      <c r="D44" s="128">
        <v>1017</v>
      </c>
      <c r="E44" s="128">
        <v>1043</v>
      </c>
      <c r="F44" s="128">
        <v>1069</v>
      </c>
      <c r="G44" s="129">
        <v>1069</v>
      </c>
      <c r="H44" s="128">
        <v>1163</v>
      </c>
      <c r="I44" s="128">
        <v>1199</v>
      </c>
      <c r="J44" s="128">
        <v>1268</v>
      </c>
      <c r="K44" s="128">
        <v>1341</v>
      </c>
      <c r="L44" s="129">
        <v>1341</v>
      </c>
      <c r="M44" s="128">
        <v>1420</v>
      </c>
      <c r="N44" s="128">
        <v>1440</v>
      </c>
      <c r="O44" s="128">
        <v>1428</v>
      </c>
      <c r="P44" s="128">
        <v>1359</v>
      </c>
      <c r="Q44" s="129">
        <v>1359</v>
      </c>
      <c r="R44" s="128">
        <v>1423</v>
      </c>
      <c r="S44" s="128">
        <v>1491</v>
      </c>
      <c r="T44" s="128">
        <v>1452</v>
      </c>
      <c r="U44" s="128">
        <v>1421</v>
      </c>
      <c r="V44" s="129">
        <v>1421</v>
      </c>
      <c r="W44" s="128">
        <v>1498</v>
      </c>
      <c r="X44" s="128">
        <v>1555</v>
      </c>
      <c r="Y44" s="128">
        <v>1596</v>
      </c>
      <c r="Z44" s="128">
        <v>1619</v>
      </c>
      <c r="AA44" s="129">
        <v>1619</v>
      </c>
      <c r="AB44" s="128">
        <v>1713</v>
      </c>
      <c r="AC44" s="128">
        <v>1825</v>
      </c>
      <c r="AD44" s="128">
        <v>1914</v>
      </c>
      <c r="AE44" s="128">
        <v>1832</v>
      </c>
      <c r="AF44" s="129">
        <v>1832</v>
      </c>
      <c r="AG44" s="128">
        <v>1910</v>
      </c>
      <c r="AH44" s="128">
        <v>1941</v>
      </c>
      <c r="AI44" s="128">
        <v>2028</v>
      </c>
      <c r="AJ44" s="128">
        <v>2020</v>
      </c>
      <c r="AK44" s="129">
        <f t="shared" si="23"/>
        <v>2020</v>
      </c>
      <c r="AL44" s="128">
        <v>2257</v>
      </c>
      <c r="AM44" s="128">
        <v>2236</v>
      </c>
      <c r="AN44" s="128">
        <v>2219</v>
      </c>
      <c r="AO44" s="128">
        <v>2182</v>
      </c>
      <c r="AP44" s="129">
        <f t="shared" si="24"/>
        <v>2182</v>
      </c>
      <c r="AQ44" s="128">
        <v>2230</v>
      </c>
      <c r="AR44" s="128">
        <v>2247</v>
      </c>
      <c r="AS44" s="128">
        <v>2400</v>
      </c>
      <c r="AT44" s="128">
        <v>2399</v>
      </c>
      <c r="AU44" s="129">
        <f t="shared" si="2"/>
        <v>2399</v>
      </c>
      <c r="AV44" s="128">
        <v>2543</v>
      </c>
      <c r="AW44" s="128">
        <v>2613</v>
      </c>
      <c r="AX44" s="128">
        <v>2717</v>
      </c>
      <c r="AY44" s="128">
        <v>2622</v>
      </c>
      <c r="AZ44" s="129">
        <f t="shared" si="25"/>
        <v>2622</v>
      </c>
      <c r="BA44" s="128">
        <v>2805</v>
      </c>
      <c r="BB44" s="128">
        <v>2872</v>
      </c>
      <c r="BC44" s="128">
        <v>2877</v>
      </c>
      <c r="BD44" s="128">
        <v>2908</v>
      </c>
      <c r="BE44" s="129">
        <f t="shared" si="26"/>
        <v>2908</v>
      </c>
      <c r="BF44" s="128">
        <v>3299</v>
      </c>
      <c r="BG44" s="128">
        <v>3335</v>
      </c>
      <c r="BH44" s="128">
        <v>3455</v>
      </c>
      <c r="BI44" s="128">
        <v>3524</v>
      </c>
      <c r="BJ44" s="129">
        <f t="shared" si="5"/>
        <v>3524</v>
      </c>
      <c r="BK44" s="128">
        <v>3668</v>
      </c>
      <c r="BL44" s="128">
        <v>3546</v>
      </c>
      <c r="BM44" s="128"/>
      <c r="BN44" s="128"/>
      <c r="BO44" s="129">
        <f t="shared" si="6"/>
        <v>3546</v>
      </c>
      <c r="BQ44" s="470"/>
      <c r="BR44" s="84"/>
    </row>
    <row r="45" spans="2:70" ht="13">
      <c r="B45" s="103" t="s">
        <v>143</v>
      </c>
      <c r="C45" s="128">
        <v>374</v>
      </c>
      <c r="D45" s="128">
        <v>409</v>
      </c>
      <c r="E45" s="128">
        <v>450</v>
      </c>
      <c r="F45" s="128">
        <v>478</v>
      </c>
      <c r="G45" s="129">
        <v>478</v>
      </c>
      <c r="H45" s="128">
        <v>474</v>
      </c>
      <c r="I45" s="128">
        <v>435</v>
      </c>
      <c r="J45" s="128">
        <v>482</v>
      </c>
      <c r="K45" s="128">
        <v>512</v>
      </c>
      <c r="L45" s="129">
        <v>512</v>
      </c>
      <c r="M45" s="128">
        <v>536</v>
      </c>
      <c r="N45" s="128">
        <v>621</v>
      </c>
      <c r="O45" s="128">
        <v>412</v>
      </c>
      <c r="P45" s="128">
        <v>405</v>
      </c>
      <c r="Q45" s="129">
        <v>405</v>
      </c>
      <c r="R45" s="128">
        <v>404</v>
      </c>
      <c r="S45" s="128">
        <v>417</v>
      </c>
      <c r="T45" s="128">
        <v>452</v>
      </c>
      <c r="U45" s="128">
        <v>492</v>
      </c>
      <c r="V45" s="129">
        <v>492</v>
      </c>
      <c r="W45" s="128">
        <v>523</v>
      </c>
      <c r="X45" s="128">
        <v>617</v>
      </c>
      <c r="Y45" s="128">
        <v>582</v>
      </c>
      <c r="Z45" s="128">
        <v>576</v>
      </c>
      <c r="AA45" s="129">
        <v>576</v>
      </c>
      <c r="AB45" s="128">
        <v>583</v>
      </c>
      <c r="AC45" s="128">
        <v>608</v>
      </c>
      <c r="AD45" s="128">
        <v>603</v>
      </c>
      <c r="AE45" s="128">
        <v>572</v>
      </c>
      <c r="AF45" s="129">
        <v>572</v>
      </c>
      <c r="AG45" s="128">
        <v>633</v>
      </c>
      <c r="AH45" s="128">
        <v>686</v>
      </c>
      <c r="AI45" s="128">
        <v>742</v>
      </c>
      <c r="AJ45" s="128">
        <v>713</v>
      </c>
      <c r="AK45" s="129">
        <f t="shared" si="23"/>
        <v>713</v>
      </c>
      <c r="AL45" s="128">
        <v>726</v>
      </c>
      <c r="AM45" s="128">
        <v>862</v>
      </c>
      <c r="AN45" s="128">
        <v>996</v>
      </c>
      <c r="AO45" s="128">
        <v>975</v>
      </c>
      <c r="AP45" s="129">
        <f t="shared" si="24"/>
        <v>975</v>
      </c>
      <c r="AQ45" s="128">
        <v>1032</v>
      </c>
      <c r="AR45" s="128">
        <v>1141</v>
      </c>
      <c r="AS45" s="128">
        <v>1417</v>
      </c>
      <c r="AT45" s="128">
        <v>1307</v>
      </c>
      <c r="AU45" s="129">
        <f t="shared" si="2"/>
        <v>1307</v>
      </c>
      <c r="AV45" s="128">
        <v>1538</v>
      </c>
      <c r="AW45" s="128">
        <v>1702</v>
      </c>
      <c r="AX45" s="128">
        <v>1827</v>
      </c>
      <c r="AY45" s="128">
        <v>1796</v>
      </c>
      <c r="AZ45" s="129">
        <f t="shared" si="25"/>
        <v>1796</v>
      </c>
      <c r="BA45" s="128">
        <v>1504</v>
      </c>
      <c r="BB45" s="128">
        <v>1436</v>
      </c>
      <c r="BC45" s="128">
        <v>1494</v>
      </c>
      <c r="BD45" s="128">
        <v>1475</v>
      </c>
      <c r="BE45" s="129">
        <f t="shared" si="26"/>
        <v>1475</v>
      </c>
      <c r="BF45" s="128">
        <v>1434</v>
      </c>
      <c r="BG45" s="128">
        <v>1632</v>
      </c>
      <c r="BH45" s="128">
        <v>1753</v>
      </c>
      <c r="BI45" s="128">
        <v>1512</v>
      </c>
      <c r="BJ45" s="129">
        <f t="shared" si="5"/>
        <v>1512</v>
      </c>
      <c r="BK45" s="128">
        <v>1636</v>
      </c>
      <c r="BL45" s="128">
        <v>1963</v>
      </c>
      <c r="BM45" s="128"/>
      <c r="BN45" s="128"/>
      <c r="BO45" s="129">
        <f t="shared" si="6"/>
        <v>1963</v>
      </c>
      <c r="BQ45" s="470"/>
      <c r="BR45" s="84"/>
    </row>
    <row r="46" spans="2:70" ht="14.5">
      <c r="B46" s="103" t="s">
        <v>144</v>
      </c>
      <c r="C46" s="209">
        <v>4880</v>
      </c>
      <c r="D46" s="209">
        <v>5521</v>
      </c>
      <c r="E46" s="209">
        <v>6064</v>
      </c>
      <c r="F46" s="209">
        <v>5796</v>
      </c>
      <c r="G46" s="105">
        <v>5796</v>
      </c>
      <c r="H46" s="209">
        <v>6920</v>
      </c>
      <c r="I46" s="209">
        <v>7148</v>
      </c>
      <c r="J46" s="209">
        <v>6486</v>
      </c>
      <c r="K46" s="209">
        <v>6225</v>
      </c>
      <c r="L46" s="105">
        <v>6225</v>
      </c>
      <c r="M46" s="209">
        <v>6850</v>
      </c>
      <c r="N46" s="209">
        <v>6185</v>
      </c>
      <c r="O46" s="209">
        <v>6818</v>
      </c>
      <c r="P46" s="209">
        <v>6186</v>
      </c>
      <c r="Q46" s="105">
        <v>6186</v>
      </c>
      <c r="R46" s="209">
        <v>7612</v>
      </c>
      <c r="S46" s="209">
        <v>6695</v>
      </c>
      <c r="T46" s="209">
        <v>6644</v>
      </c>
      <c r="U46" s="209">
        <v>6756</v>
      </c>
      <c r="V46" s="105">
        <v>6756</v>
      </c>
      <c r="W46" s="209">
        <v>8688</v>
      </c>
      <c r="X46" s="209">
        <v>7831</v>
      </c>
      <c r="Y46" s="209">
        <v>8311</v>
      </c>
      <c r="Z46" s="209">
        <v>10371</v>
      </c>
      <c r="AA46" s="105">
        <v>10371</v>
      </c>
      <c r="AB46" s="209">
        <v>13956</v>
      </c>
      <c r="AC46" s="209">
        <v>9839</v>
      </c>
      <c r="AD46" s="209">
        <v>10267</v>
      </c>
      <c r="AE46" s="209">
        <v>9992</v>
      </c>
      <c r="AF46" s="105">
        <v>9992</v>
      </c>
      <c r="AG46" s="209">
        <v>14566</v>
      </c>
      <c r="AH46" s="209">
        <v>10066</v>
      </c>
      <c r="AI46" s="209">
        <v>10933</v>
      </c>
      <c r="AJ46" s="209">
        <v>11497</v>
      </c>
      <c r="AK46" s="105">
        <f t="shared" si="23"/>
        <v>11497</v>
      </c>
      <c r="AL46" s="209">
        <v>15923</v>
      </c>
      <c r="AM46" s="209">
        <v>13733</v>
      </c>
      <c r="AN46" s="209">
        <v>14585</v>
      </c>
      <c r="AO46" s="209">
        <v>16448</v>
      </c>
      <c r="AP46" s="105">
        <f t="shared" si="24"/>
        <v>16448</v>
      </c>
      <c r="AQ46" s="209">
        <v>18411</v>
      </c>
      <c r="AR46" s="209">
        <v>18409</v>
      </c>
      <c r="AS46" s="209">
        <v>20947</v>
      </c>
      <c r="AT46" s="209">
        <v>19748</v>
      </c>
      <c r="AU46" s="105">
        <f t="shared" si="2"/>
        <v>19748</v>
      </c>
      <c r="AV46" s="209">
        <v>24668</v>
      </c>
      <c r="AW46" s="209">
        <v>18143</v>
      </c>
      <c r="AX46" s="209">
        <v>16649</v>
      </c>
      <c r="AY46" s="209">
        <v>17504</v>
      </c>
      <c r="AZ46" s="105">
        <f>AY46</f>
        <v>17504</v>
      </c>
      <c r="BA46" s="209">
        <v>29084</v>
      </c>
      <c r="BB46" s="209">
        <v>18450</v>
      </c>
      <c r="BC46" s="209">
        <v>17450</v>
      </c>
      <c r="BD46" s="209">
        <v>18440</v>
      </c>
      <c r="BE46" s="105">
        <f>BD46</f>
        <v>18440</v>
      </c>
      <c r="BF46" s="209">
        <v>18429</v>
      </c>
      <c r="BG46" s="209">
        <v>19707</v>
      </c>
      <c r="BH46" s="209">
        <v>19923</v>
      </c>
      <c r="BI46" s="209">
        <v>21307</v>
      </c>
      <c r="BJ46" s="105">
        <f t="shared" si="5"/>
        <v>21307</v>
      </c>
      <c r="BK46" s="209">
        <v>21250</v>
      </c>
      <c r="BL46" s="209">
        <v>21550</v>
      </c>
      <c r="BM46" s="209"/>
      <c r="BN46" s="209"/>
      <c r="BO46" s="105">
        <f t="shared" si="6"/>
        <v>21550</v>
      </c>
      <c r="BQ46" s="470"/>
      <c r="BR46" s="84"/>
    </row>
    <row r="47" spans="2:70" ht="13">
      <c r="B47" s="103"/>
      <c r="C47" s="19">
        <f t="shared" ref="C47:T47" si="27">SUM(C38:C46)</f>
        <v>9965</v>
      </c>
      <c r="D47" s="19">
        <f t="shared" si="27"/>
        <v>10651</v>
      </c>
      <c r="E47" s="19">
        <f t="shared" si="27"/>
        <v>11315</v>
      </c>
      <c r="F47" s="19">
        <f t="shared" si="27"/>
        <v>11383</v>
      </c>
      <c r="G47" s="28">
        <f>SUM(G38:G46)</f>
        <v>11383</v>
      </c>
      <c r="H47" s="19">
        <f t="shared" si="27"/>
        <v>13125</v>
      </c>
      <c r="I47" s="19">
        <f t="shared" si="27"/>
        <v>13157</v>
      </c>
      <c r="J47" s="19">
        <f t="shared" si="27"/>
        <v>12771</v>
      </c>
      <c r="K47" s="19">
        <f t="shared" si="27"/>
        <v>13239</v>
      </c>
      <c r="L47" s="28">
        <f>SUM(L38:L46)</f>
        <v>13239</v>
      </c>
      <c r="M47" s="19">
        <f t="shared" si="27"/>
        <v>14749</v>
      </c>
      <c r="N47" s="19">
        <f t="shared" si="27"/>
        <v>13895</v>
      </c>
      <c r="O47" s="19">
        <f t="shared" si="27"/>
        <v>14724</v>
      </c>
      <c r="P47" s="19">
        <f t="shared" si="27"/>
        <v>14013</v>
      </c>
      <c r="Q47" s="28">
        <f>SUM(Q38:Q46)</f>
        <v>14013</v>
      </c>
      <c r="R47" s="19">
        <f t="shared" si="27"/>
        <v>16297</v>
      </c>
      <c r="S47" s="19">
        <f t="shared" si="27"/>
        <v>15786</v>
      </c>
      <c r="T47" s="19">
        <f t="shared" si="27"/>
        <v>14060</v>
      </c>
      <c r="U47" s="19">
        <f t="shared" ref="U47:AA47" si="28">SUM(U38:U46)</f>
        <v>13781</v>
      </c>
      <c r="V47" s="28">
        <f t="shared" si="28"/>
        <v>13781</v>
      </c>
      <c r="W47" s="19">
        <f t="shared" si="28"/>
        <v>16189</v>
      </c>
      <c r="X47" s="19">
        <f t="shared" si="28"/>
        <v>15449</v>
      </c>
      <c r="Y47" s="19">
        <f t="shared" si="28"/>
        <v>16795</v>
      </c>
      <c r="Z47" s="19">
        <f t="shared" si="28"/>
        <v>18638</v>
      </c>
      <c r="AA47" s="28">
        <f t="shared" si="28"/>
        <v>18638</v>
      </c>
      <c r="AB47" s="19">
        <f t="shared" ref="AB47:AT47" si="29">SUM(AB38:AB46)</f>
        <v>23894</v>
      </c>
      <c r="AC47" s="19">
        <f t="shared" si="29"/>
        <v>19211</v>
      </c>
      <c r="AD47" s="19">
        <f t="shared" si="29"/>
        <v>20003</v>
      </c>
      <c r="AE47" s="19">
        <f t="shared" si="29"/>
        <v>20856</v>
      </c>
      <c r="AF47" s="28">
        <f t="shared" si="29"/>
        <v>20856</v>
      </c>
      <c r="AG47" s="19">
        <f t="shared" si="29"/>
        <v>25893</v>
      </c>
      <c r="AH47" s="19">
        <f t="shared" si="29"/>
        <v>20686</v>
      </c>
      <c r="AI47" s="19">
        <f t="shared" si="29"/>
        <v>22406</v>
      </c>
      <c r="AJ47" s="19">
        <f t="shared" si="29"/>
        <v>23865</v>
      </c>
      <c r="AK47" s="28">
        <f t="shared" si="29"/>
        <v>23865</v>
      </c>
      <c r="AL47" s="19">
        <f t="shared" si="29"/>
        <v>29538</v>
      </c>
      <c r="AM47" s="19">
        <f t="shared" si="29"/>
        <v>27688</v>
      </c>
      <c r="AN47" s="19">
        <f t="shared" si="29"/>
        <v>31165</v>
      </c>
      <c r="AO47" s="19">
        <f t="shared" si="29"/>
        <v>33603</v>
      </c>
      <c r="AP47" s="28">
        <f t="shared" si="29"/>
        <v>33603</v>
      </c>
      <c r="AQ47" s="19">
        <f t="shared" si="29"/>
        <v>36671</v>
      </c>
      <c r="AR47" s="19">
        <f t="shared" si="29"/>
        <v>37335</v>
      </c>
      <c r="AS47" s="19">
        <f t="shared" si="29"/>
        <v>41205</v>
      </c>
      <c r="AT47" s="19">
        <f t="shared" si="29"/>
        <v>39186</v>
      </c>
      <c r="AU47" s="28">
        <f t="shared" si="2"/>
        <v>39186</v>
      </c>
      <c r="AV47" s="19">
        <f>SUM(AV38:AV46)</f>
        <v>46495</v>
      </c>
      <c r="AW47" s="19">
        <f>SUM(AW38:AW46)</f>
        <v>38857</v>
      </c>
      <c r="AX47" s="19">
        <f>SUM(AX38:AX46)</f>
        <v>38929</v>
      </c>
      <c r="AY47" s="19">
        <f>SUM(AY38:AY46)</f>
        <v>38794</v>
      </c>
      <c r="AZ47" s="28">
        <f>AY47</f>
        <v>38794</v>
      </c>
      <c r="BA47" s="19">
        <f>SUM(BA38:BA46)</f>
        <v>50751</v>
      </c>
      <c r="BB47" s="19">
        <f>SUM(BB38:BB46)</f>
        <v>40830</v>
      </c>
      <c r="BC47" s="19">
        <f>SUM(BC38:BC46)</f>
        <v>41125</v>
      </c>
      <c r="BD47" s="19">
        <f>SUM(BD38:BD46)</f>
        <v>42850</v>
      </c>
      <c r="BE47" s="28">
        <f>BD47</f>
        <v>42850</v>
      </c>
      <c r="BF47" s="19">
        <f>SUM(BF38:BF46)</f>
        <v>44204</v>
      </c>
      <c r="BG47" s="19">
        <f>SUM(BG38:BG46)</f>
        <v>46398</v>
      </c>
      <c r="BH47" s="19">
        <f>SUM(BH38:BH46)</f>
        <v>49934</v>
      </c>
      <c r="BI47" s="19">
        <f>SUM(BI38:BI46)</f>
        <v>52322</v>
      </c>
      <c r="BJ47" s="28">
        <f t="shared" si="5"/>
        <v>52322</v>
      </c>
      <c r="BK47" s="19">
        <f>SUM(BK38:BK46)</f>
        <v>52911</v>
      </c>
      <c r="BL47" s="19">
        <f>SUM(BL38:BL46)</f>
        <v>53581</v>
      </c>
      <c r="BM47" s="19"/>
      <c r="BN47" s="19"/>
      <c r="BO47" s="28">
        <f t="shared" si="6"/>
        <v>53581</v>
      </c>
      <c r="BQ47" s="470"/>
      <c r="BR47" s="84"/>
    </row>
    <row r="48" spans="2:70" ht="14.5">
      <c r="B48" s="103" t="s">
        <v>145</v>
      </c>
      <c r="C48" s="51">
        <v>0</v>
      </c>
      <c r="D48" s="51">
        <v>0</v>
      </c>
      <c r="E48" s="51">
        <v>0</v>
      </c>
      <c r="F48" s="51">
        <v>0</v>
      </c>
      <c r="G48" s="52">
        <v>0</v>
      </c>
      <c r="H48" s="51">
        <v>0</v>
      </c>
      <c r="I48" s="51">
        <v>0</v>
      </c>
      <c r="J48" s="51">
        <v>0</v>
      </c>
      <c r="K48" s="51">
        <v>0</v>
      </c>
      <c r="L48" s="52">
        <v>0</v>
      </c>
      <c r="M48" s="51">
        <v>0</v>
      </c>
      <c r="N48" s="51">
        <v>0</v>
      </c>
      <c r="O48" s="51">
        <v>0</v>
      </c>
      <c r="P48" s="51">
        <v>0</v>
      </c>
      <c r="Q48" s="105">
        <v>0</v>
      </c>
      <c r="R48" s="51">
        <v>0</v>
      </c>
      <c r="S48" s="51">
        <v>0</v>
      </c>
      <c r="T48" s="51">
        <v>0</v>
      </c>
      <c r="U48" s="51">
        <v>324</v>
      </c>
      <c r="V48" s="52">
        <v>324</v>
      </c>
      <c r="W48" s="51">
        <v>345</v>
      </c>
      <c r="X48" s="51">
        <v>346</v>
      </c>
      <c r="Y48" s="150">
        <v>0</v>
      </c>
      <c r="Z48" s="150">
        <v>0</v>
      </c>
      <c r="AA48" s="105">
        <v>0</v>
      </c>
      <c r="AB48" s="51">
        <v>0</v>
      </c>
      <c r="AC48" s="51">
        <v>0</v>
      </c>
      <c r="AD48" s="150">
        <v>0</v>
      </c>
      <c r="AE48" s="150">
        <v>0</v>
      </c>
      <c r="AF48" s="105">
        <v>0</v>
      </c>
      <c r="AG48" s="150">
        <v>0</v>
      </c>
      <c r="AH48" s="51">
        <v>0</v>
      </c>
      <c r="AI48" s="51">
        <v>0</v>
      </c>
      <c r="AJ48" s="150">
        <v>0</v>
      </c>
      <c r="AK48" s="105">
        <f>AJ48</f>
        <v>0</v>
      </c>
      <c r="AL48" s="150">
        <v>0</v>
      </c>
      <c r="AM48" s="150">
        <v>0</v>
      </c>
      <c r="AN48" s="150">
        <v>0</v>
      </c>
      <c r="AO48" s="150">
        <v>0</v>
      </c>
      <c r="AP48" s="105">
        <f>AO48</f>
        <v>0</v>
      </c>
      <c r="AQ48" s="150">
        <v>0</v>
      </c>
      <c r="AR48" s="150">
        <v>0</v>
      </c>
      <c r="AS48" s="150">
        <v>0</v>
      </c>
      <c r="AT48" s="150">
        <v>0</v>
      </c>
      <c r="AU48" s="105">
        <f t="shared" si="2"/>
        <v>0</v>
      </c>
      <c r="AV48" s="150">
        <v>0</v>
      </c>
      <c r="AW48" s="150">
        <v>0</v>
      </c>
      <c r="AX48" s="150">
        <v>0</v>
      </c>
      <c r="AY48" s="150">
        <v>0</v>
      </c>
      <c r="AZ48" s="105">
        <f>AY48</f>
        <v>0</v>
      </c>
      <c r="BA48" s="150">
        <v>0</v>
      </c>
      <c r="BB48" s="150">
        <v>0</v>
      </c>
      <c r="BC48" s="150">
        <v>0</v>
      </c>
      <c r="BD48" s="150">
        <v>0</v>
      </c>
      <c r="BE48" s="105">
        <f>BD48</f>
        <v>0</v>
      </c>
      <c r="BF48" s="150">
        <v>0</v>
      </c>
      <c r="BG48" s="150">
        <v>0</v>
      </c>
      <c r="BH48" s="150">
        <v>0</v>
      </c>
      <c r="BI48" s="150">
        <v>0</v>
      </c>
      <c r="BJ48" s="105">
        <f t="shared" si="5"/>
        <v>0</v>
      </c>
      <c r="BK48" s="150">
        <v>0</v>
      </c>
      <c r="BL48" s="150">
        <v>0</v>
      </c>
      <c r="BM48" s="150"/>
      <c r="BN48" s="150"/>
      <c r="BO48" s="105">
        <f t="shared" si="6"/>
        <v>0</v>
      </c>
      <c r="BQ48" s="470"/>
      <c r="BR48" s="84"/>
    </row>
    <row r="49" spans="2:70" s="39" customFormat="1" ht="13">
      <c r="B49" s="102" t="s">
        <v>146</v>
      </c>
      <c r="C49" s="131">
        <f t="shared" ref="C49:U49" si="30">C47+C48</f>
        <v>9965</v>
      </c>
      <c r="D49" s="131">
        <f t="shared" si="30"/>
        <v>10651</v>
      </c>
      <c r="E49" s="131">
        <f t="shared" si="30"/>
        <v>11315</v>
      </c>
      <c r="F49" s="131">
        <f t="shared" si="30"/>
        <v>11383</v>
      </c>
      <c r="G49" s="24">
        <f>G47+G48</f>
        <v>11383</v>
      </c>
      <c r="H49" s="131">
        <f t="shared" si="30"/>
        <v>13125</v>
      </c>
      <c r="I49" s="131">
        <f t="shared" si="30"/>
        <v>13157</v>
      </c>
      <c r="J49" s="131">
        <f t="shared" si="30"/>
        <v>12771</v>
      </c>
      <c r="K49" s="131">
        <f t="shared" si="30"/>
        <v>13239</v>
      </c>
      <c r="L49" s="24">
        <f>L47+L48</f>
        <v>13239</v>
      </c>
      <c r="M49" s="131">
        <f t="shared" si="30"/>
        <v>14749</v>
      </c>
      <c r="N49" s="131">
        <f t="shared" si="30"/>
        <v>13895</v>
      </c>
      <c r="O49" s="131">
        <f t="shared" si="30"/>
        <v>14724</v>
      </c>
      <c r="P49" s="131">
        <f t="shared" si="30"/>
        <v>14013</v>
      </c>
      <c r="Q49" s="24">
        <f>Q47+Q48</f>
        <v>14013</v>
      </c>
      <c r="R49" s="131">
        <f t="shared" si="30"/>
        <v>16297</v>
      </c>
      <c r="S49" s="131">
        <f t="shared" si="30"/>
        <v>15786</v>
      </c>
      <c r="T49" s="131">
        <f t="shared" si="30"/>
        <v>14060</v>
      </c>
      <c r="U49" s="131">
        <f t="shared" si="30"/>
        <v>14105</v>
      </c>
      <c r="V49" s="24">
        <f t="shared" ref="V49:AT49" si="31">V47+V48</f>
        <v>14105</v>
      </c>
      <c r="W49" s="131">
        <f t="shared" si="31"/>
        <v>16534</v>
      </c>
      <c r="X49" s="131">
        <f t="shared" si="31"/>
        <v>15795</v>
      </c>
      <c r="Y49" s="131">
        <f t="shared" si="31"/>
        <v>16795</v>
      </c>
      <c r="Z49" s="131">
        <f t="shared" si="31"/>
        <v>18638</v>
      </c>
      <c r="AA49" s="24">
        <f t="shared" si="31"/>
        <v>18638</v>
      </c>
      <c r="AB49" s="131">
        <f t="shared" si="31"/>
        <v>23894</v>
      </c>
      <c r="AC49" s="131">
        <f t="shared" si="31"/>
        <v>19211</v>
      </c>
      <c r="AD49" s="131">
        <f t="shared" si="31"/>
        <v>20003</v>
      </c>
      <c r="AE49" s="131">
        <f t="shared" si="31"/>
        <v>20856</v>
      </c>
      <c r="AF49" s="24">
        <f t="shared" si="31"/>
        <v>20856</v>
      </c>
      <c r="AG49" s="131">
        <f t="shared" si="31"/>
        <v>25893</v>
      </c>
      <c r="AH49" s="131">
        <f t="shared" si="31"/>
        <v>20686</v>
      </c>
      <c r="AI49" s="131">
        <f t="shared" si="31"/>
        <v>22406</v>
      </c>
      <c r="AJ49" s="131">
        <f t="shared" si="31"/>
        <v>23865</v>
      </c>
      <c r="AK49" s="24">
        <f t="shared" si="31"/>
        <v>23865</v>
      </c>
      <c r="AL49" s="131">
        <f t="shared" si="31"/>
        <v>29538</v>
      </c>
      <c r="AM49" s="131">
        <f t="shared" si="31"/>
        <v>27688</v>
      </c>
      <c r="AN49" s="131">
        <f t="shared" si="31"/>
        <v>31165</v>
      </c>
      <c r="AO49" s="131">
        <f t="shared" si="31"/>
        <v>33603</v>
      </c>
      <c r="AP49" s="24">
        <f>AP47+AP48</f>
        <v>33603</v>
      </c>
      <c r="AQ49" s="131">
        <f t="shared" si="31"/>
        <v>36671</v>
      </c>
      <c r="AR49" s="131">
        <f t="shared" si="31"/>
        <v>37335</v>
      </c>
      <c r="AS49" s="131">
        <f t="shared" si="31"/>
        <v>41205</v>
      </c>
      <c r="AT49" s="131">
        <f t="shared" si="31"/>
        <v>39186</v>
      </c>
      <c r="AU49" s="24">
        <f t="shared" si="2"/>
        <v>39186</v>
      </c>
      <c r="AV49" s="131">
        <f>AV47+AV48</f>
        <v>46495</v>
      </c>
      <c r="AW49" s="131">
        <f>AW47+AW48</f>
        <v>38857</v>
      </c>
      <c r="AX49" s="131">
        <f>AX47+AX48</f>
        <v>38929</v>
      </c>
      <c r="AY49" s="131">
        <f>AY47+AY48</f>
        <v>38794</v>
      </c>
      <c r="AZ49" s="24">
        <f>AY49</f>
        <v>38794</v>
      </c>
      <c r="BA49" s="131">
        <f>BA47+BA48</f>
        <v>50751</v>
      </c>
      <c r="BB49" s="131">
        <f>BB47+BB48</f>
        <v>40830</v>
      </c>
      <c r="BC49" s="131">
        <f>BC47+BC48</f>
        <v>41125</v>
      </c>
      <c r="BD49" s="131">
        <f>BD47+BD48</f>
        <v>42850</v>
      </c>
      <c r="BE49" s="24">
        <f>BD49</f>
        <v>42850</v>
      </c>
      <c r="BF49" s="131">
        <f>BF47+BF48</f>
        <v>44204</v>
      </c>
      <c r="BG49" s="131">
        <f>BG47+BG48</f>
        <v>46398</v>
      </c>
      <c r="BH49" s="131">
        <f>BH47+BH48</f>
        <v>49934</v>
      </c>
      <c r="BI49" s="131">
        <f>BI47+BI48</f>
        <v>52322</v>
      </c>
      <c r="BJ49" s="24">
        <f t="shared" si="5"/>
        <v>52322</v>
      </c>
      <c r="BK49" s="131">
        <f>BK47+BK48</f>
        <v>52911</v>
      </c>
      <c r="BL49" s="131">
        <f>BL47+BL48</f>
        <v>53581</v>
      </c>
      <c r="BM49" s="131"/>
      <c r="BN49" s="131"/>
      <c r="BO49" s="24">
        <f t="shared" si="6"/>
        <v>53581</v>
      </c>
      <c r="BQ49" s="470"/>
      <c r="BR49" s="84"/>
    </row>
    <row r="50" spans="2:70" ht="13">
      <c r="B50" s="102" t="s">
        <v>147</v>
      </c>
      <c r="C50" s="128"/>
      <c r="D50" s="128"/>
      <c r="E50" s="128"/>
      <c r="F50" s="128"/>
      <c r="G50" s="129"/>
      <c r="H50" s="128"/>
      <c r="I50" s="128"/>
      <c r="J50" s="128"/>
      <c r="K50" s="128"/>
      <c r="L50" s="129"/>
      <c r="M50" s="128"/>
      <c r="N50" s="128"/>
      <c r="O50" s="128"/>
      <c r="P50" s="128"/>
      <c r="Q50" s="129"/>
      <c r="R50" s="128"/>
      <c r="S50" s="128"/>
      <c r="T50" s="128"/>
      <c r="U50" s="128"/>
      <c r="V50" s="129"/>
      <c r="W50" s="128"/>
      <c r="X50" s="128"/>
      <c r="Y50" s="128"/>
      <c r="Z50" s="128"/>
      <c r="AA50" s="129"/>
      <c r="AB50" s="128"/>
      <c r="AC50" s="128"/>
      <c r="AD50" s="128"/>
      <c r="AE50" s="128"/>
      <c r="AF50" s="129"/>
      <c r="AG50" s="128"/>
      <c r="AH50" s="128"/>
      <c r="AI50" s="128"/>
      <c r="AJ50" s="128"/>
      <c r="AK50" s="129"/>
      <c r="AL50" s="128"/>
      <c r="AM50" s="128"/>
      <c r="AN50" s="128"/>
      <c r="AO50" s="128"/>
      <c r="AP50" s="129"/>
      <c r="AQ50" s="128"/>
      <c r="AR50" s="128"/>
      <c r="AS50" s="128"/>
      <c r="AT50" s="128"/>
      <c r="AU50" s="129"/>
      <c r="AV50" s="128"/>
      <c r="AW50" s="128"/>
      <c r="AX50" s="128"/>
      <c r="AY50" s="128"/>
      <c r="AZ50" s="129"/>
      <c r="BA50" s="128"/>
      <c r="BB50" s="128"/>
      <c r="BC50" s="128"/>
      <c r="BD50" s="128"/>
      <c r="BE50" s="129"/>
      <c r="BF50" s="128"/>
      <c r="BG50" s="128"/>
      <c r="BH50" s="128"/>
      <c r="BI50" s="128"/>
      <c r="BJ50" s="129"/>
      <c r="BK50" s="128"/>
      <c r="BL50" s="128"/>
      <c r="BM50" s="128"/>
      <c r="BN50" s="128"/>
      <c r="BO50" s="129"/>
      <c r="BQ50" s="470"/>
      <c r="BR50" s="84"/>
    </row>
    <row r="51" spans="2:70" ht="13">
      <c r="B51" s="103" t="s">
        <v>138</v>
      </c>
      <c r="C51" s="128"/>
      <c r="D51" s="128"/>
      <c r="E51" s="128"/>
      <c r="F51" s="128"/>
      <c r="G51" s="129"/>
      <c r="H51" s="128"/>
      <c r="I51" s="128"/>
      <c r="J51" s="128"/>
      <c r="K51" s="128"/>
      <c r="L51" s="129"/>
      <c r="M51" s="128"/>
      <c r="N51" s="128"/>
      <c r="O51" s="128"/>
      <c r="P51" s="128"/>
      <c r="Q51" s="129"/>
      <c r="R51" s="128"/>
      <c r="S51" s="128"/>
      <c r="T51" s="128"/>
      <c r="U51" s="128"/>
      <c r="V51" s="129"/>
      <c r="W51" s="128"/>
      <c r="X51" s="128"/>
      <c r="Y51" s="128"/>
      <c r="Z51" s="128"/>
      <c r="AA51" s="129"/>
      <c r="AB51" s="128">
        <v>3338</v>
      </c>
      <c r="AC51" s="128">
        <v>3562</v>
      </c>
      <c r="AD51" s="128">
        <v>3575</v>
      </c>
      <c r="AE51" s="128">
        <v>4014</v>
      </c>
      <c r="AF51" s="129">
        <v>4014</v>
      </c>
      <c r="AG51" s="128">
        <v>3865</v>
      </c>
      <c r="AH51" s="128">
        <v>4068</v>
      </c>
      <c r="AI51" s="128">
        <v>4386</v>
      </c>
      <c r="AJ51" s="128">
        <v>4587</v>
      </c>
      <c r="AK51" s="129">
        <f>AJ51</f>
        <v>4587</v>
      </c>
      <c r="AL51" s="128">
        <v>4391</v>
      </c>
      <c r="AM51" s="128">
        <v>4356</v>
      </c>
      <c r="AN51" s="128">
        <v>4481</v>
      </c>
      <c r="AO51" s="128">
        <v>4602</v>
      </c>
      <c r="AP51" s="129">
        <f>AO51</f>
        <v>4602</v>
      </c>
      <c r="AQ51" s="128">
        <v>5176</v>
      </c>
      <c r="AR51" s="128">
        <v>5572</v>
      </c>
      <c r="AS51" s="128">
        <v>6577</v>
      </c>
      <c r="AT51" s="128">
        <v>7057</v>
      </c>
      <c r="AU51" s="129">
        <f t="shared" si="2"/>
        <v>7057</v>
      </c>
      <c r="AV51" s="128">
        <v>6659</v>
      </c>
      <c r="AW51" s="128">
        <v>6626</v>
      </c>
      <c r="AX51" s="128">
        <v>6670</v>
      </c>
      <c r="AY51" s="128">
        <v>6400</v>
      </c>
      <c r="AZ51" s="129">
        <f>AY51</f>
        <v>6400</v>
      </c>
      <c r="BA51" s="128">
        <v>6174</v>
      </c>
      <c r="BB51" s="128">
        <v>6336</v>
      </c>
      <c r="BC51" s="128">
        <v>5715</v>
      </c>
      <c r="BD51" s="128">
        <v>5772</v>
      </c>
      <c r="BE51" s="129">
        <f>BD51</f>
        <v>5772</v>
      </c>
      <c r="BF51" s="128">
        <v>5943</v>
      </c>
      <c r="BG51" s="128">
        <v>5983</v>
      </c>
      <c r="BH51" s="128">
        <v>5811</v>
      </c>
      <c r="BI51" s="128">
        <v>6016</v>
      </c>
      <c r="BJ51" s="129">
        <f t="shared" si="5"/>
        <v>6016</v>
      </c>
      <c r="BK51" s="128">
        <v>5330</v>
      </c>
      <c r="BL51" s="128">
        <v>4942</v>
      </c>
      <c r="BM51" s="128"/>
      <c r="BN51" s="128"/>
      <c r="BO51" s="129">
        <f t="shared" si="6"/>
        <v>4942</v>
      </c>
      <c r="BQ51" s="470"/>
      <c r="BR51" s="84"/>
    </row>
    <row r="52" spans="2:70" ht="13">
      <c r="B52" s="103" t="s">
        <v>148</v>
      </c>
      <c r="C52" s="128">
        <v>61</v>
      </c>
      <c r="D52" s="128">
        <v>56</v>
      </c>
      <c r="E52" s="128">
        <v>54</v>
      </c>
      <c r="F52" s="128">
        <v>160</v>
      </c>
      <c r="G52" s="129">
        <v>160</v>
      </c>
      <c r="H52" s="128">
        <v>284</v>
      </c>
      <c r="I52" s="128">
        <v>277</v>
      </c>
      <c r="J52" s="128">
        <v>268</v>
      </c>
      <c r="K52" s="128">
        <v>256</v>
      </c>
      <c r="L52" s="129">
        <v>256</v>
      </c>
      <c r="M52" s="128">
        <v>248</v>
      </c>
      <c r="N52" s="128">
        <v>235</v>
      </c>
      <c r="O52" s="128">
        <v>225</v>
      </c>
      <c r="P52" s="128">
        <v>207</v>
      </c>
      <c r="Q52" s="129">
        <v>207</v>
      </c>
      <c r="R52" s="128">
        <v>197</v>
      </c>
      <c r="S52" s="128">
        <v>188</v>
      </c>
      <c r="T52" s="128">
        <v>638</v>
      </c>
      <c r="U52" s="128">
        <v>541</v>
      </c>
      <c r="V52" s="129">
        <v>541</v>
      </c>
      <c r="W52" s="128">
        <v>505</v>
      </c>
      <c r="X52" s="128">
        <v>474</v>
      </c>
      <c r="Y52" s="128">
        <v>533</v>
      </c>
      <c r="Z52" s="128">
        <v>672</v>
      </c>
      <c r="AA52" s="129">
        <v>672</v>
      </c>
      <c r="AB52" s="128">
        <v>774</v>
      </c>
      <c r="AC52" s="128">
        <v>707</v>
      </c>
      <c r="AD52" s="128">
        <v>627</v>
      </c>
      <c r="AE52" s="128">
        <v>968</v>
      </c>
      <c r="AF52" s="129">
        <v>968</v>
      </c>
      <c r="AG52" s="128">
        <v>930</v>
      </c>
      <c r="AH52" s="128">
        <v>863</v>
      </c>
      <c r="AI52" s="128">
        <v>840</v>
      </c>
      <c r="AJ52" s="128">
        <v>875</v>
      </c>
      <c r="AK52" s="129">
        <f>AJ52</f>
        <v>875</v>
      </c>
      <c r="AL52" s="128">
        <v>840</v>
      </c>
      <c r="AM52" s="128">
        <v>858</v>
      </c>
      <c r="AN52" s="128">
        <v>841</v>
      </c>
      <c r="AO52" s="128">
        <v>1156</v>
      </c>
      <c r="AP52" s="129">
        <f>AO52</f>
        <v>1156</v>
      </c>
      <c r="AQ52" s="128">
        <v>1140</v>
      </c>
      <c r="AR52" s="128">
        <v>1120</v>
      </c>
      <c r="AS52" s="128">
        <v>1059</v>
      </c>
      <c r="AT52" s="128">
        <v>1220</v>
      </c>
      <c r="AU52" s="129">
        <f t="shared" si="2"/>
        <v>1220</v>
      </c>
      <c r="AV52" s="128">
        <v>1118</v>
      </c>
      <c r="AW52" s="128">
        <v>1028</v>
      </c>
      <c r="AX52" s="128">
        <v>942</v>
      </c>
      <c r="AY52" s="128">
        <v>1794</v>
      </c>
      <c r="AZ52" s="129">
        <f>AY52</f>
        <v>1794</v>
      </c>
      <c r="BA52" s="128">
        <v>1474</v>
      </c>
      <c r="BB52" s="128">
        <v>1686</v>
      </c>
      <c r="BC52" s="128">
        <v>1547</v>
      </c>
      <c r="BD52" s="128">
        <v>1722</v>
      </c>
      <c r="BE52" s="129">
        <f>BD52</f>
        <v>1722</v>
      </c>
      <c r="BF52" s="128">
        <v>1750</v>
      </c>
      <c r="BG52" s="128">
        <v>1688</v>
      </c>
      <c r="BH52" s="128">
        <v>1594</v>
      </c>
      <c r="BI52" s="128">
        <v>1679</v>
      </c>
      <c r="BJ52" s="129">
        <f t="shared" si="5"/>
        <v>1679</v>
      </c>
      <c r="BK52" s="128">
        <v>2000</v>
      </c>
      <c r="BL52" s="128">
        <v>1885</v>
      </c>
      <c r="BM52" s="128"/>
      <c r="BN52" s="128"/>
      <c r="BO52" s="129">
        <f t="shared" si="6"/>
        <v>1885</v>
      </c>
      <c r="BQ52" s="470"/>
      <c r="BR52" s="84"/>
    </row>
    <row r="53" spans="2:70" ht="13">
      <c r="B53" s="103" t="s">
        <v>149</v>
      </c>
      <c r="C53" s="128">
        <v>357</v>
      </c>
      <c r="D53" s="128">
        <v>391</v>
      </c>
      <c r="E53" s="128">
        <v>62</v>
      </c>
      <c r="F53" s="128">
        <v>46</v>
      </c>
      <c r="G53" s="129">
        <v>46</v>
      </c>
      <c r="H53" s="128">
        <v>116</v>
      </c>
      <c r="I53" s="128">
        <v>127</v>
      </c>
      <c r="J53" s="128">
        <v>157</v>
      </c>
      <c r="K53" s="128">
        <v>115</v>
      </c>
      <c r="L53" s="129">
        <v>115</v>
      </c>
      <c r="M53" s="128">
        <v>135</v>
      </c>
      <c r="N53" s="128">
        <v>151</v>
      </c>
      <c r="O53" s="128">
        <v>175</v>
      </c>
      <c r="P53" s="128">
        <v>153</v>
      </c>
      <c r="Q53" s="129">
        <v>153</v>
      </c>
      <c r="R53" s="128">
        <v>117</v>
      </c>
      <c r="S53" s="128">
        <v>134</v>
      </c>
      <c r="T53" s="128">
        <v>232</v>
      </c>
      <c r="U53" s="128">
        <v>272</v>
      </c>
      <c r="V53" s="129">
        <v>272</v>
      </c>
      <c r="W53" s="128">
        <v>335</v>
      </c>
      <c r="X53" s="128">
        <v>361</v>
      </c>
      <c r="Y53" s="128">
        <v>439</v>
      </c>
      <c r="Z53" s="128">
        <v>378</v>
      </c>
      <c r="AA53" s="129">
        <v>378</v>
      </c>
      <c r="AB53" s="128">
        <v>795</v>
      </c>
      <c r="AC53" s="128">
        <v>805</v>
      </c>
      <c r="AD53" s="128">
        <v>966</v>
      </c>
      <c r="AE53" s="128">
        <v>1048</v>
      </c>
      <c r="AF53" s="129">
        <v>1048</v>
      </c>
      <c r="AG53" s="128">
        <v>1189</v>
      </c>
      <c r="AH53" s="128">
        <v>1469</v>
      </c>
      <c r="AI53" s="128">
        <v>1594</v>
      </c>
      <c r="AJ53" s="128">
        <v>2180</v>
      </c>
      <c r="AK53" s="129">
        <f>AJ53</f>
        <v>2180</v>
      </c>
      <c r="AL53" s="128">
        <v>2309</v>
      </c>
      <c r="AM53" s="128">
        <v>2759</v>
      </c>
      <c r="AN53" s="128">
        <v>2719</v>
      </c>
      <c r="AO53" s="128">
        <v>2696</v>
      </c>
      <c r="AP53" s="129">
        <f>AO53</f>
        <v>2696</v>
      </c>
      <c r="AQ53" s="128">
        <v>2790</v>
      </c>
      <c r="AR53" s="128">
        <v>2776</v>
      </c>
      <c r="AS53" s="128">
        <v>2365</v>
      </c>
      <c r="AT53" s="128">
        <v>2475</v>
      </c>
      <c r="AU53" s="129">
        <f t="shared" si="2"/>
        <v>2475</v>
      </c>
      <c r="AV53" s="128">
        <v>2141</v>
      </c>
      <c r="AW53" s="128">
        <v>2552</v>
      </c>
      <c r="AX53" s="128">
        <v>2785</v>
      </c>
      <c r="AY53" s="128">
        <v>2276</v>
      </c>
      <c r="AZ53" s="129">
        <f>AY53</f>
        <v>2276</v>
      </c>
      <c r="BA53" s="128">
        <v>2109</v>
      </c>
      <c r="BB53" s="128">
        <v>2083</v>
      </c>
      <c r="BC53" s="128">
        <v>2339</v>
      </c>
      <c r="BD53" s="128">
        <v>2257</v>
      </c>
      <c r="BE53" s="129">
        <f>BD53</f>
        <v>2257</v>
      </c>
      <c r="BF53" s="128">
        <v>2262</v>
      </c>
      <c r="BG53" s="128">
        <v>2460</v>
      </c>
      <c r="BH53" s="128">
        <v>2484</v>
      </c>
      <c r="BI53" s="128">
        <v>2536</v>
      </c>
      <c r="BJ53" s="129">
        <f t="shared" si="5"/>
        <v>2536</v>
      </c>
      <c r="BK53" s="128">
        <v>2943</v>
      </c>
      <c r="BL53" s="128">
        <v>3401</v>
      </c>
      <c r="BM53" s="128"/>
      <c r="BN53" s="128"/>
      <c r="BO53" s="129">
        <f t="shared" si="6"/>
        <v>3401</v>
      </c>
      <c r="BQ53" s="470"/>
      <c r="BR53" s="84"/>
    </row>
    <row r="54" spans="2:70" ht="14.5">
      <c r="B54" s="103" t="s">
        <v>142</v>
      </c>
      <c r="C54" s="209">
        <v>0</v>
      </c>
      <c r="D54" s="209">
        <v>0</v>
      </c>
      <c r="E54" s="209">
        <v>0</v>
      </c>
      <c r="F54" s="209">
        <v>0</v>
      </c>
      <c r="G54" s="105">
        <v>0</v>
      </c>
      <c r="H54" s="209">
        <v>0</v>
      </c>
      <c r="I54" s="209">
        <v>0</v>
      </c>
      <c r="J54" s="209">
        <v>0</v>
      </c>
      <c r="K54" s="209">
        <v>0</v>
      </c>
      <c r="L54" s="105">
        <v>0</v>
      </c>
      <c r="M54" s="209">
        <v>0</v>
      </c>
      <c r="N54" s="209">
        <v>0</v>
      </c>
      <c r="O54" s="209">
        <v>0</v>
      </c>
      <c r="P54" s="209">
        <v>0</v>
      </c>
      <c r="Q54" s="105">
        <v>0</v>
      </c>
      <c r="R54" s="209">
        <v>0</v>
      </c>
      <c r="S54" s="209">
        <v>0</v>
      </c>
      <c r="T54" s="209">
        <v>51</v>
      </c>
      <c r="U54" s="209">
        <v>48</v>
      </c>
      <c r="V54" s="105">
        <v>48</v>
      </c>
      <c r="W54" s="209">
        <v>43</v>
      </c>
      <c r="X54" s="209">
        <v>46</v>
      </c>
      <c r="Y54" s="209">
        <v>45</v>
      </c>
      <c r="Z54" s="209">
        <v>44</v>
      </c>
      <c r="AA54" s="105">
        <v>44</v>
      </c>
      <c r="AB54" s="209">
        <v>45</v>
      </c>
      <c r="AC54" s="209">
        <v>45</v>
      </c>
      <c r="AD54" s="209">
        <v>47</v>
      </c>
      <c r="AE54" s="209">
        <v>38</v>
      </c>
      <c r="AF54" s="105">
        <v>38</v>
      </c>
      <c r="AG54" s="209">
        <v>51</v>
      </c>
      <c r="AH54" s="209">
        <v>58</v>
      </c>
      <c r="AI54" s="209">
        <v>65</v>
      </c>
      <c r="AJ54" s="209">
        <v>97</v>
      </c>
      <c r="AK54" s="105">
        <f>AJ54</f>
        <v>97</v>
      </c>
      <c r="AL54" s="209">
        <v>95</v>
      </c>
      <c r="AM54" s="209">
        <v>101</v>
      </c>
      <c r="AN54" s="209">
        <v>93</v>
      </c>
      <c r="AO54" s="209">
        <v>92</v>
      </c>
      <c r="AP54" s="105">
        <f>AO54</f>
        <v>92</v>
      </c>
      <c r="AQ54" s="209">
        <v>81</v>
      </c>
      <c r="AR54" s="209">
        <v>81</v>
      </c>
      <c r="AS54" s="209">
        <v>87</v>
      </c>
      <c r="AT54" s="209">
        <v>83</v>
      </c>
      <c r="AU54" s="105">
        <f t="shared" si="2"/>
        <v>83</v>
      </c>
      <c r="AV54" s="209">
        <v>81</v>
      </c>
      <c r="AW54" s="209">
        <v>82</v>
      </c>
      <c r="AX54" s="209">
        <v>90</v>
      </c>
      <c r="AY54" s="209">
        <v>89</v>
      </c>
      <c r="AZ54" s="105">
        <f>AY54</f>
        <v>89</v>
      </c>
      <c r="BA54" s="209">
        <v>93</v>
      </c>
      <c r="BB54" s="209">
        <v>105</v>
      </c>
      <c r="BC54" s="209">
        <v>92</v>
      </c>
      <c r="BD54" s="209">
        <v>99</v>
      </c>
      <c r="BE54" s="105">
        <f>BD54</f>
        <v>99</v>
      </c>
      <c r="BF54" s="209">
        <v>106</v>
      </c>
      <c r="BG54" s="209">
        <v>107</v>
      </c>
      <c r="BH54" s="209">
        <v>108</v>
      </c>
      <c r="BI54" s="209">
        <v>117</v>
      </c>
      <c r="BJ54" s="105">
        <f t="shared" si="5"/>
        <v>117</v>
      </c>
      <c r="BK54" s="209">
        <v>118</v>
      </c>
      <c r="BL54" s="209">
        <v>128</v>
      </c>
      <c r="BM54" s="209"/>
      <c r="BN54" s="209"/>
      <c r="BO54" s="105">
        <f t="shared" si="6"/>
        <v>128</v>
      </c>
      <c r="BQ54" s="470"/>
      <c r="BR54" s="84"/>
    </row>
    <row r="55" spans="2:70" ht="13">
      <c r="B55" s="102" t="s">
        <v>150</v>
      </c>
      <c r="C55" s="131">
        <f t="shared" ref="C55:J55" si="32">C49+C52+C53+C54</f>
        <v>10383</v>
      </c>
      <c r="D55" s="131">
        <f t="shared" si="32"/>
        <v>11098</v>
      </c>
      <c r="E55" s="131">
        <f t="shared" si="32"/>
        <v>11431</v>
      </c>
      <c r="F55" s="131">
        <f t="shared" si="32"/>
        <v>11589</v>
      </c>
      <c r="G55" s="132">
        <f>G49+G52+G53+G54</f>
        <v>11589</v>
      </c>
      <c r="H55" s="131">
        <f t="shared" si="32"/>
        <v>13525</v>
      </c>
      <c r="I55" s="131">
        <f t="shared" si="32"/>
        <v>13561</v>
      </c>
      <c r="J55" s="131">
        <f t="shared" si="32"/>
        <v>13196</v>
      </c>
      <c r="K55" s="131">
        <f t="shared" ref="K55:Z55" si="33">K49+K52+K53+K54</f>
        <v>13610</v>
      </c>
      <c r="L55" s="132">
        <f t="shared" si="33"/>
        <v>13610</v>
      </c>
      <c r="M55" s="131">
        <f t="shared" si="33"/>
        <v>15132</v>
      </c>
      <c r="N55" s="131">
        <f t="shared" si="33"/>
        <v>14281</v>
      </c>
      <c r="O55" s="131">
        <f t="shared" si="33"/>
        <v>15124</v>
      </c>
      <c r="P55" s="131">
        <f t="shared" si="33"/>
        <v>14373</v>
      </c>
      <c r="Q55" s="132">
        <f>Q49+Q52+Q53+Q54</f>
        <v>14373</v>
      </c>
      <c r="R55" s="131">
        <f t="shared" si="33"/>
        <v>16611</v>
      </c>
      <c r="S55" s="131">
        <f t="shared" si="33"/>
        <v>16108</v>
      </c>
      <c r="T55" s="131">
        <f t="shared" si="33"/>
        <v>14981</v>
      </c>
      <c r="U55" s="131">
        <f>U49+U52+U53+U54</f>
        <v>14966</v>
      </c>
      <c r="V55" s="132">
        <f>V49+V52+V53+V54</f>
        <v>14966</v>
      </c>
      <c r="W55" s="131">
        <f t="shared" si="33"/>
        <v>17417</v>
      </c>
      <c r="X55" s="131">
        <f t="shared" si="33"/>
        <v>16676</v>
      </c>
      <c r="Y55" s="131">
        <f t="shared" si="33"/>
        <v>17812</v>
      </c>
      <c r="Z55" s="131">
        <f t="shared" si="33"/>
        <v>19732</v>
      </c>
      <c r="AA55" s="132">
        <v>19732</v>
      </c>
      <c r="AB55" s="131">
        <f>AB49+AB51+AB52+AB53+AB54</f>
        <v>28846</v>
      </c>
      <c r="AC55" s="131">
        <f>AC49+AC51+AC52+AC53+AC54</f>
        <v>24330</v>
      </c>
      <c r="AD55" s="131">
        <f>AD49+AD51+AD52+AD53+AD54</f>
        <v>25218</v>
      </c>
      <c r="AE55" s="131">
        <f>AE49+AE51+AE52+AE53+AE54</f>
        <v>26924</v>
      </c>
      <c r="AF55" s="132">
        <v>26924</v>
      </c>
      <c r="AG55" s="131">
        <f>AG49+AG51+AG52+AG53+AG54</f>
        <v>31928</v>
      </c>
      <c r="AH55" s="131">
        <f>AH49+AH51+AH52+AH53+AH54</f>
        <v>27144</v>
      </c>
      <c r="AI55" s="131">
        <f>AI49+AI51+AI52+AI53+AI54</f>
        <v>29291</v>
      </c>
      <c r="AJ55" s="131">
        <f>AJ49+AJ51+AJ52+AJ53+AJ54</f>
        <v>31604</v>
      </c>
      <c r="AK55" s="132">
        <f>AJ55</f>
        <v>31604</v>
      </c>
      <c r="AL55" s="131">
        <f>AL49+AL51+AL52+AL53+AL54</f>
        <v>37173</v>
      </c>
      <c r="AM55" s="131">
        <f>AM49+AM51+AM52+AM53+AM54</f>
        <v>35762</v>
      </c>
      <c r="AN55" s="131">
        <f>AN49+AN51+AN52+AN53+AN54</f>
        <v>39299</v>
      </c>
      <c r="AO55" s="131">
        <f>AO49+AO51+AO52+AO53+AO54</f>
        <v>42149</v>
      </c>
      <c r="AP55" s="132">
        <f>AP49+AP52+AP53+AP54+AP51</f>
        <v>42149</v>
      </c>
      <c r="AQ55" s="131">
        <f>AQ49+AQ51+AQ52+AQ53+AQ54</f>
        <v>45858</v>
      </c>
      <c r="AR55" s="131">
        <f>AR49+AR51+AR52+AR53+AR54</f>
        <v>46884</v>
      </c>
      <c r="AS55" s="131">
        <f>AS49+AS51+AS52+AS53+AS54</f>
        <v>51293</v>
      </c>
      <c r="AT55" s="131">
        <f>AT49+AT51+AT52+AT53+AT54</f>
        <v>50021</v>
      </c>
      <c r="AU55" s="132">
        <f t="shared" si="2"/>
        <v>50021</v>
      </c>
      <c r="AV55" s="131">
        <f>AV49+AV51+AV52+AV53+AV54</f>
        <v>56494</v>
      </c>
      <c r="AW55" s="131">
        <f>AW49+AW51+AW52+AW53+AW54</f>
        <v>49145</v>
      </c>
      <c r="AX55" s="131">
        <f>AX49+AX51+AX52+AX53+AX54</f>
        <v>49416</v>
      </c>
      <c r="AY55" s="131">
        <f>AY49+AY51+AY52+AY53+AY54</f>
        <v>49353</v>
      </c>
      <c r="AZ55" s="132">
        <f>AY55</f>
        <v>49353</v>
      </c>
      <c r="BA55" s="131">
        <f>BA49+BA51+BA52+BA53+BA54</f>
        <v>60601</v>
      </c>
      <c r="BB55" s="131">
        <f>BB49+BB51+BB52+BB53+BB54</f>
        <v>51040</v>
      </c>
      <c r="BC55" s="131">
        <f>BC49+BC51+BC52+BC53+BC54</f>
        <v>50818</v>
      </c>
      <c r="BD55" s="131">
        <f>BD49+BD51+BD52+BD53+BD54</f>
        <v>52700</v>
      </c>
      <c r="BE55" s="132">
        <f>BD55</f>
        <v>52700</v>
      </c>
      <c r="BF55" s="131">
        <f>BF49+BF51+BF52+BF53+BF54</f>
        <v>54265</v>
      </c>
      <c r="BG55" s="131">
        <f>BG49+BG51+BG52+BG53+BG54</f>
        <v>56636</v>
      </c>
      <c r="BH55" s="131">
        <f>BH49+BH51+BH52+BH53+BH54</f>
        <v>59931</v>
      </c>
      <c r="BI55" s="131">
        <f>BI49+BI51+BI52+BI53+BI54</f>
        <v>62670</v>
      </c>
      <c r="BJ55" s="132">
        <f t="shared" si="5"/>
        <v>62670</v>
      </c>
      <c r="BK55" s="131">
        <f>BK49+BK51+BK52+BK53+BK54</f>
        <v>63302</v>
      </c>
      <c r="BL55" s="131">
        <f>BL49+BL51+BL52+BL53+BL54</f>
        <v>63937</v>
      </c>
      <c r="BM55" s="131"/>
      <c r="BN55" s="131"/>
      <c r="BO55" s="132">
        <f>BL55</f>
        <v>63937</v>
      </c>
      <c r="BQ55" s="470"/>
      <c r="BR55" s="84"/>
    </row>
    <row r="56" spans="2:70" ht="13">
      <c r="B56" s="102" t="s">
        <v>151</v>
      </c>
      <c r="C56" s="128"/>
      <c r="D56" s="128"/>
      <c r="E56" s="128"/>
      <c r="F56" s="128"/>
      <c r="G56" s="129"/>
      <c r="H56" s="128"/>
      <c r="I56" s="128"/>
      <c r="J56" s="128"/>
      <c r="K56" s="128"/>
      <c r="L56" s="129"/>
      <c r="M56" s="128"/>
      <c r="N56" s="128"/>
      <c r="O56" s="128"/>
      <c r="P56" s="128"/>
      <c r="Q56" s="129"/>
      <c r="R56" s="128"/>
      <c r="S56" s="128"/>
      <c r="T56" s="128"/>
      <c r="U56" s="128"/>
      <c r="V56" s="129"/>
      <c r="W56" s="128"/>
      <c r="X56" s="128"/>
      <c r="Y56" s="128"/>
      <c r="Z56" s="128"/>
      <c r="AA56" s="129"/>
      <c r="AB56" s="128"/>
      <c r="AC56" s="128"/>
      <c r="AD56" s="128"/>
      <c r="AE56" s="128"/>
      <c r="AF56" s="129"/>
      <c r="AG56" s="128"/>
      <c r="AH56" s="128"/>
      <c r="AI56" s="128"/>
      <c r="AJ56" s="128"/>
      <c r="AK56" s="129"/>
      <c r="AL56" s="128"/>
      <c r="AM56" s="128"/>
      <c r="AN56" s="128"/>
      <c r="AO56" s="128"/>
      <c r="AP56" s="129"/>
      <c r="AQ56" s="128"/>
      <c r="AR56" s="128"/>
      <c r="AS56" s="128"/>
      <c r="AT56" s="128"/>
      <c r="AU56" s="129"/>
      <c r="AV56" s="128"/>
      <c r="AW56" s="128"/>
      <c r="AX56" s="128"/>
      <c r="AY56" s="128"/>
      <c r="AZ56" s="129"/>
      <c r="BA56" s="128"/>
      <c r="BB56" s="128"/>
      <c r="BC56" s="128"/>
      <c r="BD56" s="128"/>
      <c r="BE56" s="129"/>
      <c r="BF56" s="128"/>
      <c r="BG56" s="128"/>
      <c r="BH56" s="128"/>
      <c r="BI56" s="128"/>
      <c r="BJ56" s="129"/>
      <c r="BK56" s="128"/>
      <c r="BL56" s="128"/>
      <c r="BM56" s="128"/>
      <c r="BN56" s="128"/>
      <c r="BO56" s="129"/>
      <c r="BQ56" s="470"/>
      <c r="BR56" s="84"/>
    </row>
    <row r="57" spans="2:70" ht="13">
      <c r="B57" s="103" t="s">
        <v>152</v>
      </c>
      <c r="C57" s="128">
        <v>286</v>
      </c>
      <c r="D57" s="128">
        <v>286</v>
      </c>
      <c r="E57" s="128">
        <v>572</v>
      </c>
      <c r="F57" s="128">
        <v>572</v>
      </c>
      <c r="G57" s="129">
        <v>572</v>
      </c>
      <c r="H57" s="128">
        <v>1144</v>
      </c>
      <c r="I57" s="128">
        <v>1144</v>
      </c>
      <c r="J57" s="128">
        <v>1144</v>
      </c>
      <c r="K57" s="128">
        <v>1144</v>
      </c>
      <c r="L57" s="129">
        <v>1144</v>
      </c>
      <c r="M57" s="128">
        <v>1144</v>
      </c>
      <c r="N57" s="128">
        <v>1144</v>
      </c>
      <c r="O57" s="128">
        <v>1144</v>
      </c>
      <c r="P57" s="128">
        <v>1144</v>
      </c>
      <c r="Q57" s="129">
        <v>1144</v>
      </c>
      <c r="R57" s="128">
        <v>1144</v>
      </c>
      <c r="S57" s="128">
        <v>1144</v>
      </c>
      <c r="T57" s="128">
        <v>1088</v>
      </c>
      <c r="U57" s="128">
        <v>1088</v>
      </c>
      <c r="V57" s="129">
        <v>1088</v>
      </c>
      <c r="W57" s="128">
        <v>1088</v>
      </c>
      <c r="X57" s="128">
        <v>2176</v>
      </c>
      <c r="Y57" s="128">
        <v>2176</v>
      </c>
      <c r="Z57" s="128">
        <v>2170</v>
      </c>
      <c r="AA57" s="129">
        <v>2170</v>
      </c>
      <c r="AB57" s="128">
        <v>2137</v>
      </c>
      <c r="AC57" s="128">
        <v>2121</v>
      </c>
      <c r="AD57" s="128">
        <v>2121</v>
      </c>
      <c r="AE57" s="128">
        <v>2122</v>
      </c>
      <c r="AF57" s="129">
        <v>2122</v>
      </c>
      <c r="AG57" s="128">
        <v>2122</v>
      </c>
      <c r="AH57" s="128">
        <v>2123</v>
      </c>
      <c r="AI57" s="128">
        <v>2123</v>
      </c>
      <c r="AJ57" s="128">
        <v>2124</v>
      </c>
      <c r="AK57" s="129">
        <f t="shared" ref="AK57:AK67" si="34">AJ57</f>
        <v>2124</v>
      </c>
      <c r="AL57" s="128">
        <v>2122</v>
      </c>
      <c r="AM57" s="128">
        <v>2097</v>
      </c>
      <c r="AN57" s="128">
        <v>2097</v>
      </c>
      <c r="AO57" s="128">
        <v>2098</v>
      </c>
      <c r="AP57" s="129">
        <f t="shared" ref="AP57:AP63" si="35">AO57</f>
        <v>2098</v>
      </c>
      <c r="AQ57" s="128">
        <v>2098</v>
      </c>
      <c r="AR57" s="128">
        <v>2099</v>
      </c>
      <c r="AS57" s="128">
        <v>2086</v>
      </c>
      <c r="AT57" s="128">
        <v>2069</v>
      </c>
      <c r="AU57" s="129">
        <f t="shared" si="2"/>
        <v>2069</v>
      </c>
      <c r="AV57" s="128">
        <v>2070</v>
      </c>
      <c r="AW57" s="128">
        <v>2070</v>
      </c>
      <c r="AX57" s="128">
        <v>2070</v>
      </c>
      <c r="AY57" s="128">
        <v>2071</v>
      </c>
      <c r="AZ57" s="129">
        <f t="shared" ref="AZ57:AZ67" si="36">AY57</f>
        <v>2071</v>
      </c>
      <c r="BA57" s="128">
        <v>2072</v>
      </c>
      <c r="BB57" s="128">
        <v>2072</v>
      </c>
      <c r="BC57" s="128">
        <v>2072</v>
      </c>
      <c r="BD57" s="128">
        <v>2073</v>
      </c>
      <c r="BE57" s="129">
        <f t="shared" ref="BE57:BE67" si="37">BD57</f>
        <v>2073</v>
      </c>
      <c r="BF57" s="128">
        <v>2074</v>
      </c>
      <c r="BG57" s="128">
        <v>2074</v>
      </c>
      <c r="BH57" s="128">
        <v>2024</v>
      </c>
      <c r="BI57" s="128">
        <v>2024</v>
      </c>
      <c r="BJ57" s="129">
        <f t="shared" si="5"/>
        <v>2024</v>
      </c>
      <c r="BK57" s="128">
        <v>2025</v>
      </c>
      <c r="BL57" s="128">
        <v>2026</v>
      </c>
      <c r="BM57" s="128"/>
      <c r="BN57" s="128"/>
      <c r="BO57" s="129">
        <f t="shared" si="6"/>
        <v>2026</v>
      </c>
      <c r="BQ57" s="470"/>
      <c r="BR57" s="84"/>
    </row>
    <row r="58" spans="2:70" ht="13">
      <c r="B58" s="103" t="s">
        <v>153</v>
      </c>
      <c r="C58" s="128">
        <v>3090</v>
      </c>
      <c r="D58" s="128">
        <v>3091</v>
      </c>
      <c r="E58" s="128">
        <v>2805</v>
      </c>
      <c r="F58" s="128">
        <v>2806</v>
      </c>
      <c r="G58" s="129">
        <v>2806</v>
      </c>
      <c r="H58" s="128">
        <v>2236</v>
      </c>
      <c r="I58" s="128">
        <v>2238</v>
      </c>
      <c r="J58" s="128">
        <v>2239</v>
      </c>
      <c r="K58" s="128">
        <v>2241</v>
      </c>
      <c r="L58" s="129">
        <v>2241</v>
      </c>
      <c r="M58" s="128">
        <v>2250</v>
      </c>
      <c r="N58" s="128">
        <v>2272</v>
      </c>
      <c r="O58" s="128">
        <v>2313</v>
      </c>
      <c r="P58" s="128">
        <v>2356</v>
      </c>
      <c r="Q58" s="129">
        <v>2356</v>
      </c>
      <c r="R58" s="128">
        <v>2401</v>
      </c>
      <c r="S58" s="128">
        <v>2392</v>
      </c>
      <c r="T58" s="128">
        <v>158</v>
      </c>
      <c r="U58" s="128">
        <v>186</v>
      </c>
      <c r="V58" s="129">
        <v>186</v>
      </c>
      <c r="W58" s="128">
        <v>229</v>
      </c>
      <c r="X58" s="128">
        <v>281</v>
      </c>
      <c r="Y58" s="128">
        <v>333</v>
      </c>
      <c r="Z58" s="128">
        <v>396</v>
      </c>
      <c r="AA58" s="129">
        <v>396</v>
      </c>
      <c r="AB58" s="128">
        <v>460</v>
      </c>
      <c r="AC58" s="128">
        <v>520</v>
      </c>
      <c r="AD58" s="128">
        <v>552</v>
      </c>
      <c r="AE58" s="128">
        <v>600</v>
      </c>
      <c r="AF58" s="129">
        <v>600</v>
      </c>
      <c r="AG58" s="128">
        <v>665</v>
      </c>
      <c r="AH58" s="128">
        <v>745</v>
      </c>
      <c r="AI58" s="128">
        <v>828</v>
      </c>
      <c r="AJ58" s="128">
        <v>993</v>
      </c>
      <c r="AK58" s="129">
        <f t="shared" si="34"/>
        <v>993</v>
      </c>
      <c r="AL58" s="128">
        <v>1107</v>
      </c>
      <c r="AM58" s="128">
        <v>564</v>
      </c>
      <c r="AN58" s="128">
        <v>669</v>
      </c>
      <c r="AO58" s="128">
        <v>827</v>
      </c>
      <c r="AP58" s="129">
        <f t="shared" si="35"/>
        <v>827</v>
      </c>
      <c r="AQ58" s="128">
        <v>976</v>
      </c>
      <c r="AR58" s="128">
        <v>1131</v>
      </c>
      <c r="AS58" s="128">
        <v>929</v>
      </c>
      <c r="AT58" s="128">
        <v>1065</v>
      </c>
      <c r="AU58" s="129">
        <f t="shared" si="2"/>
        <v>1065</v>
      </c>
      <c r="AV58" s="128">
        <v>1204</v>
      </c>
      <c r="AW58" s="128">
        <v>1333</v>
      </c>
      <c r="AX58" s="128">
        <v>1453</v>
      </c>
      <c r="AY58" s="128">
        <v>1550</v>
      </c>
      <c r="AZ58" s="129">
        <f t="shared" si="36"/>
        <v>1550</v>
      </c>
      <c r="BA58" s="128">
        <v>1744</v>
      </c>
      <c r="BB58" s="128">
        <v>1948</v>
      </c>
      <c r="BC58" s="128">
        <v>2136</v>
      </c>
      <c r="BD58" s="128">
        <v>2180</v>
      </c>
      <c r="BE58" s="129">
        <f t="shared" si="37"/>
        <v>2180</v>
      </c>
      <c r="BF58" s="128">
        <v>2360</v>
      </c>
      <c r="BG58" s="128">
        <v>2586</v>
      </c>
      <c r="BH58" s="128">
        <v>1559</v>
      </c>
      <c r="BI58" s="128">
        <v>1839</v>
      </c>
      <c r="BJ58" s="129">
        <f t="shared" si="5"/>
        <v>1839</v>
      </c>
      <c r="BK58" s="128">
        <v>1894</v>
      </c>
      <c r="BL58" s="128">
        <v>2104</v>
      </c>
      <c r="BM58" s="128"/>
      <c r="BN58" s="128"/>
      <c r="BO58" s="129">
        <f t="shared" si="6"/>
        <v>2104</v>
      </c>
      <c r="BQ58" s="470"/>
      <c r="BR58" s="84"/>
    </row>
    <row r="59" spans="2:70" ht="13">
      <c r="B59" s="103" t="s">
        <v>154</v>
      </c>
      <c r="C59" s="128">
        <v>43593</v>
      </c>
      <c r="D59" s="128">
        <v>46689</v>
      </c>
      <c r="E59" s="128">
        <v>47881</v>
      </c>
      <c r="F59" s="128">
        <v>50978</v>
      </c>
      <c r="G59" s="129">
        <v>50978</v>
      </c>
      <c r="H59" s="128">
        <v>49947</v>
      </c>
      <c r="I59" s="128">
        <v>53346</v>
      </c>
      <c r="J59" s="128">
        <v>54058</v>
      </c>
      <c r="K59" s="128">
        <v>57655</v>
      </c>
      <c r="L59" s="129">
        <v>57655</v>
      </c>
      <c r="M59" s="128">
        <v>57168</v>
      </c>
      <c r="N59" s="128">
        <v>60773</v>
      </c>
      <c r="O59" s="128">
        <v>61452</v>
      </c>
      <c r="P59" s="128">
        <v>65056</v>
      </c>
      <c r="Q59" s="129">
        <v>65056</v>
      </c>
      <c r="R59" s="128">
        <v>64149</v>
      </c>
      <c r="S59" s="128">
        <v>67503</v>
      </c>
      <c r="T59" s="128">
        <v>58093</v>
      </c>
      <c r="U59" s="128">
        <v>61241</v>
      </c>
      <c r="V59" s="129">
        <v>61241</v>
      </c>
      <c r="W59" s="128">
        <v>56567</v>
      </c>
      <c r="X59" s="128">
        <v>59195</v>
      </c>
      <c r="Y59" s="128">
        <v>58880</v>
      </c>
      <c r="Z59" s="128">
        <v>58848</v>
      </c>
      <c r="AA59" s="129">
        <v>58848</v>
      </c>
      <c r="AB59" s="128">
        <v>49988</v>
      </c>
      <c r="AC59" s="128">
        <v>53802</v>
      </c>
      <c r="AD59" s="128">
        <v>53449</v>
      </c>
      <c r="AE59" s="128">
        <v>57506</v>
      </c>
      <c r="AF59" s="129">
        <v>57506</v>
      </c>
      <c r="AG59" s="128">
        <v>57294</v>
      </c>
      <c r="AH59" s="128">
        <v>61652</v>
      </c>
      <c r="AI59" s="128">
        <v>60896</v>
      </c>
      <c r="AJ59" s="128">
        <v>65397</v>
      </c>
      <c r="AK59" s="129">
        <f t="shared" si="34"/>
        <v>65397</v>
      </c>
      <c r="AL59" s="128">
        <v>59977</v>
      </c>
      <c r="AM59" s="128">
        <v>58078</v>
      </c>
      <c r="AN59" s="128">
        <v>57078</v>
      </c>
      <c r="AO59" s="128">
        <v>62423</v>
      </c>
      <c r="AP59" s="129">
        <f t="shared" si="35"/>
        <v>62423</v>
      </c>
      <c r="AQ59" s="128">
        <v>61350</v>
      </c>
      <c r="AR59" s="128">
        <v>67653</v>
      </c>
      <c r="AS59" s="128">
        <v>59203</v>
      </c>
      <c r="AT59" s="128">
        <v>60063</v>
      </c>
      <c r="AU59" s="129">
        <f t="shared" si="2"/>
        <v>60063</v>
      </c>
      <c r="AV59" s="128">
        <v>58214</v>
      </c>
      <c r="AW59" s="128">
        <v>63789</v>
      </c>
      <c r="AX59" s="128">
        <v>61826</v>
      </c>
      <c r="AY59" s="128">
        <v>69674</v>
      </c>
      <c r="AZ59" s="129">
        <f t="shared" si="36"/>
        <v>69674</v>
      </c>
      <c r="BA59" s="128">
        <v>64814</v>
      </c>
      <c r="BB59" s="128">
        <v>74200</v>
      </c>
      <c r="BC59" s="128">
        <v>72382</v>
      </c>
      <c r="BD59" s="128">
        <v>80096</v>
      </c>
      <c r="BE59" s="129">
        <f t="shared" si="37"/>
        <v>80096</v>
      </c>
      <c r="BF59" s="128">
        <v>80025</v>
      </c>
      <c r="BG59" s="128">
        <v>87944</v>
      </c>
      <c r="BH59" s="128">
        <v>68582</v>
      </c>
      <c r="BI59" s="128">
        <v>77634</v>
      </c>
      <c r="BJ59" s="129">
        <f t="shared" si="5"/>
        <v>77634</v>
      </c>
      <c r="BK59" s="128">
        <v>77478</v>
      </c>
      <c r="BL59" s="128">
        <v>85871</v>
      </c>
      <c r="BM59" s="128"/>
      <c r="BN59" s="128"/>
      <c r="BO59" s="129">
        <f t="shared" si="6"/>
        <v>85871</v>
      </c>
      <c r="BQ59" s="470"/>
      <c r="BR59" s="84"/>
    </row>
    <row r="60" spans="2:70" ht="13">
      <c r="B60" s="122" t="s">
        <v>155</v>
      </c>
      <c r="C60" s="130">
        <v>0</v>
      </c>
      <c r="D60" s="130">
        <v>0</v>
      </c>
      <c r="E60" s="130">
        <v>0</v>
      </c>
      <c r="F60" s="130">
        <v>0</v>
      </c>
      <c r="G60" s="66">
        <v>0</v>
      </c>
      <c r="H60" s="130">
        <v>0</v>
      </c>
      <c r="I60" s="130">
        <v>0</v>
      </c>
      <c r="J60" s="89">
        <v>1</v>
      </c>
      <c r="K60" s="130">
        <v>0</v>
      </c>
      <c r="L60" s="28">
        <v>0</v>
      </c>
      <c r="M60" s="130">
        <v>0</v>
      </c>
      <c r="N60" s="89">
        <v>2</v>
      </c>
      <c r="O60" s="89">
        <v>28</v>
      </c>
      <c r="P60" s="89">
        <v>39</v>
      </c>
      <c r="Q60" s="28">
        <v>39</v>
      </c>
      <c r="R60" s="89">
        <v>-27</v>
      </c>
      <c r="S60" s="89">
        <v>-7</v>
      </c>
      <c r="T60" s="89">
        <v>-2</v>
      </c>
      <c r="U60" s="89">
        <v>0</v>
      </c>
      <c r="V60" s="28">
        <v>0</v>
      </c>
      <c r="W60" s="89">
        <v>9</v>
      </c>
      <c r="X60" s="89">
        <v>-20</v>
      </c>
      <c r="Y60" s="89">
        <v>36</v>
      </c>
      <c r="Z60" s="89">
        <v>21</v>
      </c>
      <c r="AA60" s="28">
        <v>21</v>
      </c>
      <c r="AB60" s="89">
        <v>-3</v>
      </c>
      <c r="AC60" s="89">
        <v>14</v>
      </c>
      <c r="AD60" s="89">
        <v>-15</v>
      </c>
      <c r="AE60" s="89">
        <v>-15</v>
      </c>
      <c r="AF60" s="28">
        <v>-15</v>
      </c>
      <c r="AG60" s="89">
        <v>-21</v>
      </c>
      <c r="AH60" s="89">
        <v>6</v>
      </c>
      <c r="AI60" s="89">
        <v>-16</v>
      </c>
      <c r="AJ60" s="89">
        <v>10</v>
      </c>
      <c r="AK60" s="28">
        <f t="shared" si="34"/>
        <v>10</v>
      </c>
      <c r="AL60" s="89">
        <v>15</v>
      </c>
      <c r="AM60" s="89">
        <v>21</v>
      </c>
      <c r="AN60" s="89">
        <v>14</v>
      </c>
      <c r="AO60" s="89">
        <v>2</v>
      </c>
      <c r="AP60" s="28">
        <f t="shared" si="35"/>
        <v>2</v>
      </c>
      <c r="AQ60" s="89">
        <v>28</v>
      </c>
      <c r="AR60" s="89">
        <v>16</v>
      </c>
      <c r="AS60" s="89">
        <v>-41</v>
      </c>
      <c r="AT60" s="89">
        <v>-5</v>
      </c>
      <c r="AU60" s="28">
        <f t="shared" si="2"/>
        <v>-5</v>
      </c>
      <c r="AV60" s="89">
        <v>1</v>
      </c>
      <c r="AW60" s="89">
        <v>24</v>
      </c>
      <c r="AX60" s="89">
        <v>-22</v>
      </c>
      <c r="AY60" s="89">
        <v>6</v>
      </c>
      <c r="AZ60" s="129">
        <f t="shared" si="36"/>
        <v>6</v>
      </c>
      <c r="BA60" s="89">
        <v>3</v>
      </c>
      <c r="BB60" s="89">
        <v>-18</v>
      </c>
      <c r="BC60" s="89">
        <v>38</v>
      </c>
      <c r="BD60" s="89">
        <v>-18</v>
      </c>
      <c r="BE60" s="129">
        <f t="shared" si="37"/>
        <v>-18</v>
      </c>
      <c r="BF60" s="89">
        <v>-12</v>
      </c>
      <c r="BG60" s="89">
        <v>-12</v>
      </c>
      <c r="BH60" s="89">
        <v>-8</v>
      </c>
      <c r="BI60" s="89">
        <v>-19</v>
      </c>
      <c r="BJ60" s="129">
        <f t="shared" si="5"/>
        <v>-19</v>
      </c>
      <c r="BK60" s="89">
        <v>30</v>
      </c>
      <c r="BL60" s="89">
        <v>17</v>
      </c>
      <c r="BM60" s="89"/>
      <c r="BN60" s="89"/>
      <c r="BO60" s="129">
        <f t="shared" si="6"/>
        <v>17</v>
      </c>
      <c r="BQ60" s="470"/>
      <c r="BR60" s="84"/>
    </row>
    <row r="61" spans="2:70" ht="13">
      <c r="B61" s="122" t="s">
        <v>156</v>
      </c>
      <c r="C61" s="130"/>
      <c r="D61" s="130"/>
      <c r="E61" s="130"/>
      <c r="F61" s="130"/>
      <c r="G61" s="66"/>
      <c r="H61" s="130"/>
      <c r="I61" s="130"/>
      <c r="J61" s="89"/>
      <c r="K61" s="130"/>
      <c r="L61" s="28"/>
      <c r="M61" s="130"/>
      <c r="N61" s="89"/>
      <c r="O61" s="89"/>
      <c r="P61" s="89"/>
      <c r="Q61" s="28"/>
      <c r="R61" s="89">
        <v>329</v>
      </c>
      <c r="S61" s="89">
        <v>702</v>
      </c>
      <c r="T61" s="89">
        <v>1040</v>
      </c>
      <c r="U61" s="89">
        <v>1583</v>
      </c>
      <c r="V61" s="28">
        <v>1583</v>
      </c>
      <c r="W61" s="89">
        <v>1920</v>
      </c>
      <c r="X61" s="89">
        <v>2314</v>
      </c>
      <c r="Y61" s="89">
        <v>2573</v>
      </c>
      <c r="Z61" s="89">
        <v>2570</v>
      </c>
      <c r="AA61" s="28">
        <v>2570</v>
      </c>
      <c r="AB61" s="89">
        <v>2898</v>
      </c>
      <c r="AC61" s="89">
        <v>3099</v>
      </c>
      <c r="AD61" s="89">
        <v>3806</v>
      </c>
      <c r="AE61" s="89">
        <v>4070</v>
      </c>
      <c r="AF61" s="28">
        <v>4070</v>
      </c>
      <c r="AG61" s="89">
        <v>4487</v>
      </c>
      <c r="AH61" s="89">
        <v>4972</v>
      </c>
      <c r="AI61" s="89">
        <v>5810</v>
      </c>
      <c r="AJ61" s="89">
        <v>6385</v>
      </c>
      <c r="AK61" s="28">
        <f t="shared" si="34"/>
        <v>6385</v>
      </c>
      <c r="AL61" s="89">
        <v>6915</v>
      </c>
      <c r="AM61" s="89">
        <v>7470</v>
      </c>
      <c r="AN61" s="89">
        <v>7996</v>
      </c>
      <c r="AO61" s="89">
        <v>8339</v>
      </c>
      <c r="AP61" s="28">
        <f t="shared" si="35"/>
        <v>8339</v>
      </c>
      <c r="AQ61" s="89">
        <v>8043</v>
      </c>
      <c r="AR61" s="89">
        <v>7762</v>
      </c>
      <c r="AS61" s="89">
        <v>10045</v>
      </c>
      <c r="AT61" s="89">
        <v>10014</v>
      </c>
      <c r="AU61" s="28">
        <f t="shared" si="2"/>
        <v>10014</v>
      </c>
      <c r="AV61" s="89">
        <v>10572</v>
      </c>
      <c r="AW61" s="89">
        <v>11209</v>
      </c>
      <c r="AX61" s="89">
        <v>11855</v>
      </c>
      <c r="AY61" s="89">
        <v>12104</v>
      </c>
      <c r="AZ61" s="129">
        <f t="shared" si="36"/>
        <v>12104</v>
      </c>
      <c r="BA61" s="89">
        <v>11753</v>
      </c>
      <c r="BB61" s="89">
        <v>8873</v>
      </c>
      <c r="BC61" s="89">
        <v>8802</v>
      </c>
      <c r="BD61" s="89">
        <v>8298</v>
      </c>
      <c r="BE61" s="129">
        <f t="shared" si="37"/>
        <v>8298</v>
      </c>
      <c r="BF61" s="89">
        <v>6221</v>
      </c>
      <c r="BG61" s="89">
        <v>5675</v>
      </c>
      <c r="BH61" s="89">
        <v>5375</v>
      </c>
      <c r="BI61" s="89">
        <v>4824</v>
      </c>
      <c r="BJ61" s="129">
        <f t="shared" si="5"/>
        <v>4824</v>
      </c>
      <c r="BK61" s="89">
        <v>2806</v>
      </c>
      <c r="BL61" s="89">
        <v>2262</v>
      </c>
      <c r="BM61" s="89"/>
      <c r="BN61" s="89"/>
      <c r="BO61" s="129">
        <f t="shared" si="6"/>
        <v>2262</v>
      </c>
      <c r="BQ61" s="470"/>
      <c r="BR61" s="84"/>
    </row>
    <row r="62" spans="2:70" ht="13">
      <c r="B62" s="122" t="s">
        <v>157</v>
      </c>
      <c r="C62" s="130"/>
      <c r="D62" s="130"/>
      <c r="E62" s="130"/>
      <c r="F62" s="130"/>
      <c r="G62" s="66">
        <v>0</v>
      </c>
      <c r="H62" s="130"/>
      <c r="I62" s="130"/>
      <c r="J62" s="89"/>
      <c r="K62" s="130"/>
      <c r="L62" s="28">
        <v>0</v>
      </c>
      <c r="M62" s="130"/>
      <c r="N62" s="89"/>
      <c r="O62" s="89"/>
      <c r="P62" s="89"/>
      <c r="Q62" s="28">
        <v>0</v>
      </c>
      <c r="R62" s="89">
        <v>0</v>
      </c>
      <c r="S62" s="89">
        <v>0</v>
      </c>
      <c r="T62" s="89">
        <v>56</v>
      </c>
      <c r="U62" s="89">
        <v>56</v>
      </c>
      <c r="V62" s="28">
        <v>56</v>
      </c>
      <c r="W62" s="89">
        <v>56</v>
      </c>
      <c r="X62" s="89">
        <v>56</v>
      </c>
      <c r="Y62" s="89">
        <v>56</v>
      </c>
      <c r="Z62" s="89">
        <v>61</v>
      </c>
      <c r="AA62" s="28">
        <v>61</v>
      </c>
      <c r="AB62" s="89">
        <v>94</v>
      </c>
      <c r="AC62" s="89">
        <v>111</v>
      </c>
      <c r="AD62" s="89">
        <v>111</v>
      </c>
      <c r="AE62" s="89">
        <v>111</v>
      </c>
      <c r="AF62" s="28">
        <v>111</v>
      </c>
      <c r="AG62" s="89">
        <v>111</v>
      </c>
      <c r="AH62" s="89">
        <v>111</v>
      </c>
      <c r="AI62" s="89">
        <v>111</v>
      </c>
      <c r="AJ62" s="89">
        <v>111</v>
      </c>
      <c r="AK62" s="28">
        <f t="shared" si="34"/>
        <v>111</v>
      </c>
      <c r="AL62" s="89">
        <v>113</v>
      </c>
      <c r="AM62" s="89">
        <v>139</v>
      </c>
      <c r="AN62" s="89">
        <v>139</v>
      </c>
      <c r="AO62" s="89">
        <v>139</v>
      </c>
      <c r="AP62" s="28">
        <f t="shared" si="35"/>
        <v>139</v>
      </c>
      <c r="AQ62" s="89">
        <v>139</v>
      </c>
      <c r="AR62" s="89">
        <v>139</v>
      </c>
      <c r="AS62" s="89">
        <v>150</v>
      </c>
      <c r="AT62" s="89">
        <v>169</v>
      </c>
      <c r="AU62" s="28">
        <f t="shared" si="2"/>
        <v>169</v>
      </c>
      <c r="AV62" s="89">
        <v>169</v>
      </c>
      <c r="AW62" s="89">
        <v>169</v>
      </c>
      <c r="AX62" s="89">
        <v>169</v>
      </c>
      <c r="AY62" s="89">
        <v>169</v>
      </c>
      <c r="AZ62" s="129">
        <f t="shared" si="36"/>
        <v>169</v>
      </c>
      <c r="BA62" s="89">
        <v>169</v>
      </c>
      <c r="BB62" s="89">
        <v>169</v>
      </c>
      <c r="BC62" s="89">
        <v>169</v>
      </c>
      <c r="BD62" s="89">
        <v>169</v>
      </c>
      <c r="BE62" s="129">
        <f t="shared" si="37"/>
        <v>169</v>
      </c>
      <c r="BF62" s="89">
        <v>169</v>
      </c>
      <c r="BG62" s="89">
        <v>169</v>
      </c>
      <c r="BH62" s="89">
        <v>219</v>
      </c>
      <c r="BI62" s="89">
        <v>219</v>
      </c>
      <c r="BJ62" s="129">
        <f t="shared" si="5"/>
        <v>219</v>
      </c>
      <c r="BK62" s="89">
        <v>219</v>
      </c>
      <c r="BL62" s="89">
        <v>219</v>
      </c>
      <c r="BM62" s="89"/>
      <c r="BN62" s="89"/>
      <c r="BO62" s="129">
        <f t="shared" si="6"/>
        <v>219</v>
      </c>
      <c r="BQ62" s="470"/>
      <c r="BR62" s="84"/>
    </row>
    <row r="63" spans="2:70" ht="14.5">
      <c r="B63" s="122" t="s">
        <v>158</v>
      </c>
      <c r="C63" s="209">
        <v>567</v>
      </c>
      <c r="D63" s="209">
        <v>516</v>
      </c>
      <c r="E63" s="209">
        <v>530</v>
      </c>
      <c r="F63" s="209">
        <v>407</v>
      </c>
      <c r="G63" s="105">
        <v>407</v>
      </c>
      <c r="H63" s="209">
        <v>532</v>
      </c>
      <c r="I63" s="209">
        <v>617</v>
      </c>
      <c r="J63" s="209">
        <v>626</v>
      </c>
      <c r="K63" s="209">
        <v>739</v>
      </c>
      <c r="L63" s="105">
        <v>739</v>
      </c>
      <c r="M63" s="209">
        <v>725</v>
      </c>
      <c r="N63" s="209">
        <v>634</v>
      </c>
      <c r="O63" s="209">
        <v>579</v>
      </c>
      <c r="P63" s="209">
        <v>387</v>
      </c>
      <c r="Q63" s="105">
        <v>387</v>
      </c>
      <c r="R63" s="209">
        <v>518</v>
      </c>
      <c r="S63" s="209">
        <v>636</v>
      </c>
      <c r="T63" s="209">
        <v>541</v>
      </c>
      <c r="U63" s="209">
        <v>769</v>
      </c>
      <c r="V63" s="105">
        <v>769</v>
      </c>
      <c r="W63" s="209">
        <v>816</v>
      </c>
      <c r="X63" s="209">
        <v>1146</v>
      </c>
      <c r="Y63" s="209">
        <v>929</v>
      </c>
      <c r="Z63" s="209">
        <v>882</v>
      </c>
      <c r="AA63" s="105">
        <v>882</v>
      </c>
      <c r="AB63" s="209">
        <v>906</v>
      </c>
      <c r="AC63" s="209">
        <v>854</v>
      </c>
      <c r="AD63" s="209">
        <v>832</v>
      </c>
      <c r="AE63" s="209">
        <v>1056</v>
      </c>
      <c r="AF63" s="105">
        <v>1056</v>
      </c>
      <c r="AG63" s="209">
        <v>1415</v>
      </c>
      <c r="AH63" s="209">
        <v>1391</v>
      </c>
      <c r="AI63" s="209">
        <v>1863</v>
      </c>
      <c r="AJ63" s="209">
        <v>1331</v>
      </c>
      <c r="AK63" s="105">
        <f t="shared" si="34"/>
        <v>1331</v>
      </c>
      <c r="AL63" s="209">
        <v>1622</v>
      </c>
      <c r="AM63" s="209">
        <v>1570</v>
      </c>
      <c r="AN63" s="209">
        <v>1408</v>
      </c>
      <c r="AO63" s="209">
        <v>1522</v>
      </c>
      <c r="AP63" s="105">
        <f t="shared" si="35"/>
        <v>1522</v>
      </c>
      <c r="AQ63" s="209">
        <v>1122</v>
      </c>
      <c r="AR63" s="209">
        <v>1181</v>
      </c>
      <c r="AS63" s="209">
        <v>1920</v>
      </c>
      <c r="AT63" s="209">
        <v>2032</v>
      </c>
      <c r="AU63" s="105">
        <f t="shared" si="2"/>
        <v>2032</v>
      </c>
      <c r="AV63" s="209">
        <v>2213</v>
      </c>
      <c r="AW63" s="209">
        <v>2174</v>
      </c>
      <c r="AX63" s="209">
        <v>2719</v>
      </c>
      <c r="AY63" s="209">
        <v>2542</v>
      </c>
      <c r="AZ63" s="105">
        <f t="shared" si="36"/>
        <v>2542</v>
      </c>
      <c r="BA63" s="209">
        <v>2514</v>
      </c>
      <c r="BB63" s="209">
        <v>3219</v>
      </c>
      <c r="BC63" s="209">
        <v>2693</v>
      </c>
      <c r="BD63" s="209">
        <v>3020</v>
      </c>
      <c r="BE63" s="105">
        <f t="shared" si="37"/>
        <v>3020</v>
      </c>
      <c r="BF63" s="209">
        <v>4117</v>
      </c>
      <c r="BG63" s="209">
        <v>4894</v>
      </c>
      <c r="BH63" s="209">
        <v>5275</v>
      </c>
      <c r="BI63" s="209">
        <v>6331</v>
      </c>
      <c r="BJ63" s="105">
        <f t="shared" si="5"/>
        <v>6331</v>
      </c>
      <c r="BK63" s="209">
        <v>6655</v>
      </c>
      <c r="BL63" s="209">
        <v>6578</v>
      </c>
      <c r="BM63" s="209"/>
      <c r="BN63" s="209"/>
      <c r="BO63" s="105">
        <f t="shared" si="6"/>
        <v>6578</v>
      </c>
      <c r="BQ63" s="470"/>
      <c r="BR63" s="84"/>
    </row>
    <row r="64" spans="2:70" ht="13">
      <c r="B64" s="102" t="s">
        <v>159</v>
      </c>
      <c r="C64" s="131">
        <f t="shared" ref="C64:Z64" si="38">SUM(C57:C63)</f>
        <v>47536</v>
      </c>
      <c r="D64" s="131">
        <f t="shared" si="38"/>
        <v>50582</v>
      </c>
      <c r="E64" s="131">
        <f t="shared" si="38"/>
        <v>51788</v>
      </c>
      <c r="F64" s="131">
        <f t="shared" si="38"/>
        <v>54763</v>
      </c>
      <c r="G64" s="132">
        <f t="shared" si="38"/>
        <v>54763</v>
      </c>
      <c r="H64" s="131">
        <f t="shared" si="38"/>
        <v>53859</v>
      </c>
      <c r="I64" s="131">
        <f t="shared" si="38"/>
        <v>57345</v>
      </c>
      <c r="J64" s="131">
        <f t="shared" si="38"/>
        <v>58068</v>
      </c>
      <c r="K64" s="131">
        <f t="shared" si="38"/>
        <v>61779</v>
      </c>
      <c r="L64" s="132">
        <f t="shared" si="38"/>
        <v>61779</v>
      </c>
      <c r="M64" s="131">
        <f t="shared" si="38"/>
        <v>61287</v>
      </c>
      <c r="N64" s="131">
        <f t="shared" si="38"/>
        <v>64825</v>
      </c>
      <c r="O64" s="131">
        <f t="shared" si="38"/>
        <v>65516</v>
      </c>
      <c r="P64" s="131">
        <f t="shared" si="38"/>
        <v>68982</v>
      </c>
      <c r="Q64" s="132">
        <f>SUM(Q57:Q63)</f>
        <v>68982</v>
      </c>
      <c r="R64" s="131">
        <f t="shared" si="38"/>
        <v>68514</v>
      </c>
      <c r="S64" s="131">
        <f t="shared" si="38"/>
        <v>72370</v>
      </c>
      <c r="T64" s="131">
        <f t="shared" si="38"/>
        <v>60974</v>
      </c>
      <c r="U64" s="131">
        <f t="shared" si="38"/>
        <v>64923</v>
      </c>
      <c r="V64" s="132">
        <f>SUM(V57:V63)</f>
        <v>64923</v>
      </c>
      <c r="W64" s="131">
        <f t="shared" si="38"/>
        <v>60685</v>
      </c>
      <c r="X64" s="131">
        <f t="shared" si="38"/>
        <v>65148</v>
      </c>
      <c r="Y64" s="131">
        <f t="shared" si="38"/>
        <v>64983</v>
      </c>
      <c r="Z64" s="131">
        <f t="shared" si="38"/>
        <v>64948</v>
      </c>
      <c r="AA64" s="132">
        <v>64948</v>
      </c>
      <c r="AB64" s="131">
        <f>SUM(AB57:AB63)</f>
        <v>56480</v>
      </c>
      <c r="AC64" s="131">
        <f>SUM(AC57:AC63)</f>
        <v>60521</v>
      </c>
      <c r="AD64" s="131">
        <f>SUM(AD57:AD63)</f>
        <v>60856</v>
      </c>
      <c r="AE64" s="131">
        <f>SUM(AE57:AE63)</f>
        <v>65450</v>
      </c>
      <c r="AF64" s="132">
        <v>65450</v>
      </c>
      <c r="AG64" s="131">
        <f>SUM(AG57:AG63)</f>
        <v>66073</v>
      </c>
      <c r="AH64" s="131">
        <f>SUM(AH57:AH63)</f>
        <v>71000</v>
      </c>
      <c r="AI64" s="131">
        <f>SUM(AI57:AI63)</f>
        <v>71615</v>
      </c>
      <c r="AJ64" s="131">
        <f>SUM(AJ57:AJ63)</f>
        <v>76351</v>
      </c>
      <c r="AK64" s="132">
        <f t="shared" si="34"/>
        <v>76351</v>
      </c>
      <c r="AL64" s="131">
        <f t="shared" ref="AL64:AT64" si="39">SUM(AL57:AL63)</f>
        <v>71871</v>
      </c>
      <c r="AM64" s="131">
        <f t="shared" si="39"/>
        <v>69939</v>
      </c>
      <c r="AN64" s="131">
        <f t="shared" si="39"/>
        <v>69401</v>
      </c>
      <c r="AO64" s="131">
        <f t="shared" si="39"/>
        <v>75350</v>
      </c>
      <c r="AP64" s="132">
        <f t="shared" si="39"/>
        <v>75350</v>
      </c>
      <c r="AQ64" s="131">
        <f t="shared" si="39"/>
        <v>73756</v>
      </c>
      <c r="AR64" s="131">
        <f t="shared" si="39"/>
        <v>79981</v>
      </c>
      <c r="AS64" s="131">
        <f t="shared" si="39"/>
        <v>74292</v>
      </c>
      <c r="AT64" s="131">
        <f t="shared" si="39"/>
        <v>75407</v>
      </c>
      <c r="AU64" s="132">
        <f t="shared" si="2"/>
        <v>75407</v>
      </c>
      <c r="AV64" s="131">
        <f>SUM(AV57:AV63)</f>
        <v>74443</v>
      </c>
      <c r="AW64" s="131">
        <f>SUM(AW57:AW63)</f>
        <v>80768</v>
      </c>
      <c r="AX64" s="131">
        <f>SUM(AX57:AX63)</f>
        <v>80070</v>
      </c>
      <c r="AY64" s="131">
        <f>SUM(AY57:AY63)</f>
        <v>88116</v>
      </c>
      <c r="AZ64" s="132">
        <f t="shared" si="36"/>
        <v>88116</v>
      </c>
      <c r="BA64" s="131">
        <f>SUM(BA57:BA63)</f>
        <v>83069</v>
      </c>
      <c r="BB64" s="131">
        <f>SUM(BB57:BB63)</f>
        <v>90463</v>
      </c>
      <c r="BC64" s="131">
        <f>SUM(BC57:BC63)</f>
        <v>88292</v>
      </c>
      <c r="BD64" s="131">
        <f>SUM(BD57:BD63)</f>
        <v>95818</v>
      </c>
      <c r="BE64" s="132">
        <f t="shared" si="37"/>
        <v>95818</v>
      </c>
      <c r="BF64" s="131">
        <f>SUM(BF57:BF63)</f>
        <v>94954</v>
      </c>
      <c r="BG64" s="131">
        <f>SUM(BG57:BG63)</f>
        <v>103330</v>
      </c>
      <c r="BH64" s="131">
        <f>SUM(BH57:BH63)</f>
        <v>83026</v>
      </c>
      <c r="BI64" s="131">
        <f>SUM(BI57:BI63)</f>
        <v>92852</v>
      </c>
      <c r="BJ64" s="132">
        <f t="shared" si="5"/>
        <v>92852</v>
      </c>
      <c r="BK64" s="131">
        <f>SUM(BK57:BK63)</f>
        <v>91107</v>
      </c>
      <c r="BL64" s="131">
        <f>SUM(BL57:BL63)</f>
        <v>99077</v>
      </c>
      <c r="BM64" s="131"/>
      <c r="BN64" s="131"/>
      <c r="BO64" s="132">
        <f t="shared" si="6"/>
        <v>99077</v>
      </c>
      <c r="BQ64" s="470"/>
      <c r="BR64" s="84"/>
    </row>
    <row r="65" spans="2:70" ht="14.5">
      <c r="B65" s="122" t="s">
        <v>160</v>
      </c>
      <c r="C65" s="209"/>
      <c r="D65" s="209"/>
      <c r="E65" s="209"/>
      <c r="F65" s="209"/>
      <c r="G65" s="105">
        <v>0</v>
      </c>
      <c r="H65" s="209"/>
      <c r="I65" s="209"/>
      <c r="J65" s="209"/>
      <c r="K65" s="209"/>
      <c r="L65" s="105">
        <v>0</v>
      </c>
      <c r="M65" s="209"/>
      <c r="N65" s="209"/>
      <c r="O65" s="209"/>
      <c r="P65" s="209"/>
      <c r="Q65" s="105">
        <v>0</v>
      </c>
      <c r="R65" s="209">
        <v>0</v>
      </c>
      <c r="S65" s="209">
        <v>0</v>
      </c>
      <c r="T65" s="209">
        <v>0</v>
      </c>
      <c r="U65" s="209">
        <v>1</v>
      </c>
      <c r="V65" s="105">
        <v>1</v>
      </c>
      <c r="W65" s="209">
        <v>1</v>
      </c>
      <c r="X65" s="209">
        <v>1</v>
      </c>
      <c r="Y65" s="209">
        <v>54</v>
      </c>
      <c r="Z65" s="209">
        <v>58</v>
      </c>
      <c r="AA65" s="105">
        <v>58</v>
      </c>
      <c r="AB65" s="209">
        <v>376</v>
      </c>
      <c r="AC65" s="209">
        <v>360</v>
      </c>
      <c r="AD65" s="209">
        <v>375</v>
      </c>
      <c r="AE65" s="209">
        <v>394</v>
      </c>
      <c r="AF65" s="105">
        <v>394</v>
      </c>
      <c r="AG65" s="209">
        <v>438</v>
      </c>
      <c r="AH65" s="209">
        <v>434</v>
      </c>
      <c r="AI65" s="209">
        <v>437</v>
      </c>
      <c r="AJ65" s="209">
        <v>431</v>
      </c>
      <c r="AK65" s="105">
        <f t="shared" si="34"/>
        <v>431</v>
      </c>
      <c r="AL65" s="209">
        <v>442</v>
      </c>
      <c r="AM65" s="209">
        <v>409</v>
      </c>
      <c r="AN65" s="209">
        <v>377</v>
      </c>
      <c r="AO65" s="209">
        <v>386</v>
      </c>
      <c r="AP65" s="105">
        <f>AO65</f>
        <v>386</v>
      </c>
      <c r="AQ65" s="209">
        <v>365</v>
      </c>
      <c r="AR65" s="209">
        <v>366</v>
      </c>
      <c r="AS65" s="209">
        <v>381</v>
      </c>
      <c r="AT65" s="209">
        <v>388</v>
      </c>
      <c r="AU65" s="105">
        <f t="shared" si="2"/>
        <v>388</v>
      </c>
      <c r="AV65" s="209">
        <v>385</v>
      </c>
      <c r="AW65" s="209">
        <v>386</v>
      </c>
      <c r="AX65" s="209">
        <v>380</v>
      </c>
      <c r="AY65" s="209">
        <v>345</v>
      </c>
      <c r="AZ65" s="105">
        <f t="shared" si="36"/>
        <v>345</v>
      </c>
      <c r="BA65" s="209">
        <v>349</v>
      </c>
      <c r="BB65" s="209">
        <v>367</v>
      </c>
      <c r="BC65" s="209">
        <v>376</v>
      </c>
      <c r="BD65" s="209">
        <v>385</v>
      </c>
      <c r="BE65" s="105">
        <f t="shared" si="37"/>
        <v>385</v>
      </c>
      <c r="BF65" s="209">
        <v>400</v>
      </c>
      <c r="BG65" s="209">
        <v>414</v>
      </c>
      <c r="BH65" s="209">
        <v>427</v>
      </c>
      <c r="BI65" s="209">
        <v>445</v>
      </c>
      <c r="BJ65" s="105">
        <f t="shared" si="5"/>
        <v>445</v>
      </c>
      <c r="BK65" s="209">
        <v>449</v>
      </c>
      <c r="BL65" s="209">
        <v>466</v>
      </c>
      <c r="BM65" s="209"/>
      <c r="BN65" s="209"/>
      <c r="BO65" s="105">
        <f t="shared" si="6"/>
        <v>466</v>
      </c>
      <c r="BQ65" s="470"/>
      <c r="BR65" s="84"/>
    </row>
    <row r="66" spans="2:70" ht="13">
      <c r="B66" s="123" t="s">
        <v>161</v>
      </c>
      <c r="C66" s="131">
        <f t="shared" ref="C66:V66" si="40">C64+C65</f>
        <v>47536</v>
      </c>
      <c r="D66" s="131">
        <f t="shared" si="40"/>
        <v>50582</v>
      </c>
      <c r="E66" s="131">
        <f t="shared" si="40"/>
        <v>51788</v>
      </c>
      <c r="F66" s="131">
        <f t="shared" si="40"/>
        <v>54763</v>
      </c>
      <c r="G66" s="132">
        <f t="shared" si="40"/>
        <v>54763</v>
      </c>
      <c r="H66" s="131">
        <f t="shared" si="40"/>
        <v>53859</v>
      </c>
      <c r="I66" s="131">
        <f t="shared" si="40"/>
        <v>57345</v>
      </c>
      <c r="J66" s="131">
        <f t="shared" si="40"/>
        <v>58068</v>
      </c>
      <c r="K66" s="131">
        <f t="shared" si="40"/>
        <v>61779</v>
      </c>
      <c r="L66" s="132">
        <f t="shared" si="40"/>
        <v>61779</v>
      </c>
      <c r="M66" s="131">
        <f t="shared" si="40"/>
        <v>61287</v>
      </c>
      <c r="N66" s="131">
        <f t="shared" si="40"/>
        <v>64825</v>
      </c>
      <c r="O66" s="131">
        <f t="shared" si="40"/>
        <v>65516</v>
      </c>
      <c r="P66" s="131">
        <f t="shared" si="40"/>
        <v>68982</v>
      </c>
      <c r="Q66" s="132">
        <f t="shared" si="40"/>
        <v>68982</v>
      </c>
      <c r="R66" s="131">
        <f t="shared" si="40"/>
        <v>68514</v>
      </c>
      <c r="S66" s="131">
        <f t="shared" si="40"/>
        <v>72370</v>
      </c>
      <c r="T66" s="131">
        <f t="shared" si="40"/>
        <v>60974</v>
      </c>
      <c r="U66" s="131">
        <f t="shared" si="40"/>
        <v>64924</v>
      </c>
      <c r="V66" s="132">
        <f t="shared" si="40"/>
        <v>64924</v>
      </c>
      <c r="W66" s="131">
        <f>W64+W65</f>
        <v>60686</v>
      </c>
      <c r="X66" s="131">
        <f>X64+X65</f>
        <v>65149</v>
      </c>
      <c r="Y66" s="131">
        <f>Y64+Y65</f>
        <v>65037</v>
      </c>
      <c r="Z66" s="131">
        <f>Z64+Z65</f>
        <v>65006</v>
      </c>
      <c r="AA66" s="132">
        <v>65006</v>
      </c>
      <c r="AB66" s="131">
        <f>AB64+AB65</f>
        <v>56856</v>
      </c>
      <c r="AC66" s="131">
        <f>AC64+AC65</f>
        <v>60881</v>
      </c>
      <c r="AD66" s="131">
        <f>AD64+AD65</f>
        <v>61231</v>
      </c>
      <c r="AE66" s="131">
        <f>AE64+AE65</f>
        <v>65844</v>
      </c>
      <c r="AF66" s="132">
        <v>65844</v>
      </c>
      <c r="AG66" s="131">
        <f>AG64+AG65</f>
        <v>66511</v>
      </c>
      <c r="AH66" s="131">
        <f>AH64+AH65</f>
        <v>71434</v>
      </c>
      <c r="AI66" s="131">
        <f>AI64+AI65</f>
        <v>72052</v>
      </c>
      <c r="AJ66" s="131">
        <f>AJ64+AJ65</f>
        <v>76782</v>
      </c>
      <c r="AK66" s="132">
        <f t="shared" si="34"/>
        <v>76782</v>
      </c>
      <c r="AL66" s="131">
        <f t="shared" ref="AL66:AQ66" si="41">AL64+AL65</f>
        <v>72313</v>
      </c>
      <c r="AM66" s="131">
        <f t="shared" si="41"/>
        <v>70348</v>
      </c>
      <c r="AN66" s="131">
        <f t="shared" si="41"/>
        <v>69778</v>
      </c>
      <c r="AO66" s="131">
        <f t="shared" si="41"/>
        <v>75736</v>
      </c>
      <c r="AP66" s="132">
        <f t="shared" si="41"/>
        <v>75736</v>
      </c>
      <c r="AQ66" s="131">
        <f t="shared" si="41"/>
        <v>74121</v>
      </c>
      <c r="AR66" s="131">
        <f>AR64+AR65</f>
        <v>80347</v>
      </c>
      <c r="AS66" s="131">
        <f>AS64+AS65</f>
        <v>74673</v>
      </c>
      <c r="AT66" s="131">
        <f>AT64+AT65</f>
        <v>75795</v>
      </c>
      <c r="AU66" s="132">
        <f t="shared" si="2"/>
        <v>75795</v>
      </c>
      <c r="AV66" s="131">
        <f>SUM(AV64+AV65)</f>
        <v>74828</v>
      </c>
      <c r="AW66" s="131">
        <f>SUM(AW64+AW65)</f>
        <v>81154</v>
      </c>
      <c r="AX66" s="131">
        <f>SUM(AX64+AX65)</f>
        <v>80450</v>
      </c>
      <c r="AY66" s="131">
        <f>SUM(AY64+AY65)</f>
        <v>88461</v>
      </c>
      <c r="AZ66" s="132">
        <f t="shared" si="36"/>
        <v>88461</v>
      </c>
      <c r="BA66" s="131">
        <f>SUM(BA64+BA65)</f>
        <v>83418</v>
      </c>
      <c r="BB66" s="131">
        <f>SUM(BB64+BB65)</f>
        <v>90830</v>
      </c>
      <c r="BC66" s="131">
        <f>SUM(BC64+BC65)</f>
        <v>88668</v>
      </c>
      <c r="BD66" s="131">
        <f>SUM(BD64+BD65)</f>
        <v>96203</v>
      </c>
      <c r="BE66" s="132">
        <f t="shared" si="37"/>
        <v>96203</v>
      </c>
      <c r="BF66" s="131">
        <f>SUM(BF64+BF65)</f>
        <v>95354</v>
      </c>
      <c r="BG66" s="131">
        <f>SUM(BG64+BG65)</f>
        <v>103744</v>
      </c>
      <c r="BH66" s="131">
        <f>SUM(BH64+BH65)</f>
        <v>83453</v>
      </c>
      <c r="BI66" s="131">
        <f>SUM(BI64+BI65)</f>
        <v>93297</v>
      </c>
      <c r="BJ66" s="132">
        <f t="shared" si="5"/>
        <v>93297</v>
      </c>
      <c r="BK66" s="131">
        <f>SUM(BK64+BK65)</f>
        <v>91556</v>
      </c>
      <c r="BL66" s="131">
        <f>SUM(BL64+BL65)</f>
        <v>99543</v>
      </c>
      <c r="BM66" s="131"/>
      <c r="BN66" s="131"/>
      <c r="BO66" s="132">
        <f t="shared" si="6"/>
        <v>99543</v>
      </c>
      <c r="BQ66" s="470"/>
      <c r="BR66" s="84"/>
    </row>
    <row r="67" spans="2:70" ht="13">
      <c r="B67" s="125" t="s">
        <v>162</v>
      </c>
      <c r="C67" s="363">
        <f t="shared" ref="C67:T67" si="42">C64+C55</f>
        <v>57919</v>
      </c>
      <c r="D67" s="363">
        <f t="shared" si="42"/>
        <v>61680</v>
      </c>
      <c r="E67" s="363">
        <f t="shared" si="42"/>
        <v>63219</v>
      </c>
      <c r="F67" s="363">
        <f t="shared" si="42"/>
        <v>66352</v>
      </c>
      <c r="G67" s="364">
        <f t="shared" si="42"/>
        <v>66352</v>
      </c>
      <c r="H67" s="363">
        <f t="shared" si="42"/>
        <v>67384</v>
      </c>
      <c r="I67" s="363">
        <f t="shared" si="42"/>
        <v>70906</v>
      </c>
      <c r="J67" s="363">
        <f t="shared" si="42"/>
        <v>71264</v>
      </c>
      <c r="K67" s="363">
        <f t="shared" si="42"/>
        <v>75389</v>
      </c>
      <c r="L67" s="364">
        <f t="shared" si="42"/>
        <v>75389</v>
      </c>
      <c r="M67" s="363">
        <f t="shared" si="42"/>
        <v>76419</v>
      </c>
      <c r="N67" s="363">
        <f t="shared" si="42"/>
        <v>79106</v>
      </c>
      <c r="O67" s="363">
        <f t="shared" si="42"/>
        <v>80640</v>
      </c>
      <c r="P67" s="363">
        <f t="shared" si="42"/>
        <v>83355</v>
      </c>
      <c r="Q67" s="364">
        <f>Q64+Q55</f>
        <v>83355</v>
      </c>
      <c r="R67" s="363">
        <f t="shared" si="42"/>
        <v>85125</v>
      </c>
      <c r="S67" s="363">
        <f t="shared" si="42"/>
        <v>88478</v>
      </c>
      <c r="T67" s="363">
        <f t="shared" si="42"/>
        <v>75955</v>
      </c>
      <c r="U67" s="363">
        <f t="shared" ref="U67:Z67" si="43">U66+U55</f>
        <v>79890</v>
      </c>
      <c r="V67" s="364">
        <f t="shared" si="43"/>
        <v>79890</v>
      </c>
      <c r="W67" s="363">
        <f t="shared" si="43"/>
        <v>78103</v>
      </c>
      <c r="X67" s="363">
        <f t="shared" si="43"/>
        <v>81825</v>
      </c>
      <c r="Y67" s="363">
        <f t="shared" si="43"/>
        <v>82849</v>
      </c>
      <c r="Z67" s="363">
        <f t="shared" si="43"/>
        <v>84738</v>
      </c>
      <c r="AA67" s="364">
        <v>84738</v>
      </c>
      <c r="AB67" s="363">
        <f>AB66+AB55</f>
        <v>85702</v>
      </c>
      <c r="AC67" s="363">
        <f>AC66+AC55</f>
        <v>85211</v>
      </c>
      <c r="AD67" s="363">
        <f>AD66+AD55</f>
        <v>86449</v>
      </c>
      <c r="AE67" s="363">
        <f>AE66+AE55</f>
        <v>92768</v>
      </c>
      <c r="AF67" s="364">
        <v>92768</v>
      </c>
      <c r="AG67" s="363">
        <f>AG66+AG55</f>
        <v>98439</v>
      </c>
      <c r="AH67" s="363">
        <f>AH66+AH55</f>
        <v>98578</v>
      </c>
      <c r="AI67" s="363">
        <f>AI66+AI55</f>
        <v>101343</v>
      </c>
      <c r="AJ67" s="363">
        <f>AJ66+AJ55</f>
        <v>108386</v>
      </c>
      <c r="AK67" s="364">
        <f t="shared" si="34"/>
        <v>108386</v>
      </c>
      <c r="AL67" s="363">
        <f t="shared" ref="AL67:AQ67" si="44">AL66+AL55</f>
        <v>109486</v>
      </c>
      <c r="AM67" s="363">
        <f t="shared" si="44"/>
        <v>106110</v>
      </c>
      <c r="AN67" s="363">
        <f t="shared" si="44"/>
        <v>109077</v>
      </c>
      <c r="AO67" s="363">
        <f t="shared" si="44"/>
        <v>117885</v>
      </c>
      <c r="AP67" s="364">
        <f t="shared" si="44"/>
        <v>117885</v>
      </c>
      <c r="AQ67" s="363">
        <f t="shared" si="44"/>
        <v>119979</v>
      </c>
      <c r="AR67" s="363">
        <f>AR66+AR55</f>
        <v>127231</v>
      </c>
      <c r="AS67" s="363">
        <f>AS66+AS55</f>
        <v>125966</v>
      </c>
      <c r="AT67" s="363">
        <f>AT66+AT55</f>
        <v>125816</v>
      </c>
      <c r="AU67" s="364">
        <f t="shared" si="2"/>
        <v>125816</v>
      </c>
      <c r="AV67" s="363">
        <f>AV66+AV55</f>
        <v>131322</v>
      </c>
      <c r="AW67" s="363">
        <f>AW66+AW55</f>
        <v>130299</v>
      </c>
      <c r="AX67" s="363">
        <f>AX66+AX55</f>
        <v>129866</v>
      </c>
      <c r="AY67" s="363">
        <f>AY66+AY55</f>
        <v>137814</v>
      </c>
      <c r="AZ67" s="364">
        <f t="shared" si="36"/>
        <v>137814</v>
      </c>
      <c r="BA67" s="363">
        <f>BA66+BA55</f>
        <v>144019</v>
      </c>
      <c r="BB67" s="363">
        <f>BB66+BB55</f>
        <v>141870</v>
      </c>
      <c r="BC67" s="363">
        <f>BC66+BC55</f>
        <v>139486</v>
      </c>
      <c r="BD67" s="363">
        <f>BD66+BD55</f>
        <v>148903</v>
      </c>
      <c r="BE67" s="364">
        <f t="shared" si="37"/>
        <v>148903</v>
      </c>
      <c r="BF67" s="363">
        <f>BF66+BF55</f>
        <v>149619</v>
      </c>
      <c r="BG67" s="363">
        <f>BG66+BG55</f>
        <v>160380</v>
      </c>
      <c r="BH67" s="363">
        <f>BH66+BH55</f>
        <v>143384</v>
      </c>
      <c r="BI67" s="363">
        <f>BI66+BI55</f>
        <v>155967</v>
      </c>
      <c r="BJ67" s="364">
        <f t="shared" si="5"/>
        <v>155967</v>
      </c>
      <c r="BK67" s="363">
        <f>BK66+BK55</f>
        <v>154858</v>
      </c>
      <c r="BL67" s="363">
        <f>BL66+BL55</f>
        <v>163480</v>
      </c>
      <c r="BM67" s="363"/>
      <c r="BN67" s="363"/>
      <c r="BO67" s="364">
        <f t="shared" si="6"/>
        <v>163480</v>
      </c>
      <c r="BQ67" s="470"/>
      <c r="BR67" s="84"/>
    </row>
    <row r="70" spans="2:70">
      <c r="B70" s="39" t="s">
        <v>101</v>
      </c>
    </row>
    <row r="71" spans="2:70">
      <c r="B71" s="39" t="s">
        <v>102</v>
      </c>
    </row>
    <row r="72" spans="2:70">
      <c r="B72" s="39"/>
    </row>
  </sheetData>
  <hyperlinks>
    <hyperlink ref="B1" location="Index!A1" display="Index" xr:uid="{44020436-9101-4CB4-8622-DF630ECB126D}"/>
  </hyperlinks>
  <pageMargins left="0.32" right="0.2" top="0.75" bottom="0.25" header="0.3" footer="0.3"/>
  <pageSetup paperSize="9" scale="65" orientation="portrait" r:id="rId1"/>
  <headerFooter alignWithMargins="0"/>
  <customProperties>
    <customPr name="_pios_id" r:id="rId2"/>
    <customPr name="EpmWorksheetKeyString_GUID" r:id="rId3"/>
  </customProperties>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8CB5E-D948-4E56-A146-3D6888344390}">
  <sheetPr codeName="Sheet4">
    <pageSetUpPr fitToPage="1"/>
  </sheetPr>
  <dimension ref="B1:BO86"/>
  <sheetViews>
    <sheetView showGridLines="0" zoomScaleNormal="100" workbookViewId="0">
      <pane xSplit="2" ySplit="5" topLeftCell="BJ6" activePane="bottomRight" state="frozen"/>
      <selection pane="topRight" activeCell="C1" sqref="C1"/>
      <selection pane="bottomLeft" activeCell="A6" sqref="A6"/>
      <selection pane="bottomRight" activeCell="B1" sqref="B1"/>
    </sheetView>
  </sheetViews>
  <sheetFormatPr defaultRowHeight="12.5" outlineLevelCol="2"/>
  <cols>
    <col min="1" max="1" width="1.1796875" customWidth="1"/>
    <col min="2" max="2" width="65" customWidth="1"/>
    <col min="3" max="3" width="9.81640625" style="162" hidden="1" customWidth="1" outlineLevel="2"/>
    <col min="4" max="4" width="9.81640625" style="160" hidden="1" customWidth="1" outlineLevel="2"/>
    <col min="5" max="6" width="9.81640625" hidden="1" customWidth="1" outlineLevel="2"/>
    <col min="7" max="7" width="9.81640625" hidden="1" customWidth="1" outlineLevel="1"/>
    <col min="8" max="8" width="9.81640625" hidden="1" customWidth="1" outlineLevel="2"/>
    <col min="9" max="11" width="9.81640625" style="157" hidden="1" customWidth="1" outlineLevel="2"/>
    <col min="12" max="12" width="9.81640625" style="184" hidden="1" customWidth="1" outlineLevel="1"/>
    <col min="13" max="13" width="9.81640625" hidden="1" customWidth="1" outlineLevel="2"/>
    <col min="14" max="14" width="9.81640625" style="155" hidden="1" customWidth="1" outlineLevel="2"/>
    <col min="15" max="16" width="9.81640625" hidden="1" customWidth="1" outlineLevel="2"/>
    <col min="17" max="17" width="9.81640625" style="204" hidden="1" customWidth="1" outlineLevel="1"/>
    <col min="18" max="21" width="9.81640625" hidden="1" customWidth="1" outlineLevel="2"/>
    <col min="22" max="22" width="9.81640625" style="204" hidden="1" customWidth="1" outlineLevel="1"/>
    <col min="23" max="26" width="9.81640625" hidden="1" customWidth="1" outlineLevel="2"/>
    <col min="27" max="27" width="9.81640625" style="204" hidden="1" customWidth="1" outlineLevel="1"/>
    <col min="28" max="31" width="9.1796875" hidden="1" customWidth="1" outlineLevel="2"/>
    <col min="32" max="33" width="9.1796875" hidden="1" customWidth="1" outlineLevel="1"/>
    <col min="34" max="34" width="9.54296875" hidden="1" customWidth="1" outlineLevel="1"/>
    <col min="35" max="36" width="9.1796875" hidden="1" customWidth="1" outlineLevel="1"/>
    <col min="37" max="37" width="9.1796875" customWidth="1" collapsed="1"/>
    <col min="38" max="41" width="9.1796875" hidden="1" customWidth="1" outlineLevel="1"/>
    <col min="42" max="42" width="9.1796875" customWidth="1" collapsed="1"/>
    <col min="43" max="46" width="8.81640625" hidden="1" customWidth="1" outlineLevel="1"/>
    <col min="47" max="47" width="9.1796875" customWidth="1" collapsed="1"/>
    <col min="48" max="48" width="9.1796875" hidden="1" customWidth="1" outlineLevel="1"/>
    <col min="49" max="51" width="8.81640625" hidden="1" customWidth="1" outlineLevel="1"/>
    <col min="52" max="52" width="8.81640625" customWidth="1" collapsed="1"/>
    <col min="53" max="53" width="9.1796875" hidden="1" customWidth="1" outlineLevel="1"/>
    <col min="54" max="56" width="8.81640625" hidden="1" customWidth="1" outlineLevel="1"/>
    <col min="57" max="57" width="8.81640625" customWidth="1" collapsed="1"/>
    <col min="58" max="58" width="9.1796875" hidden="1" customWidth="1" outlineLevel="1"/>
    <col min="59" max="61" width="8.81640625" hidden="1" customWidth="1" outlineLevel="1"/>
    <col min="62" max="62" width="10.54296875" customWidth="1" collapsed="1"/>
    <col min="63" max="63" width="9.1796875" customWidth="1" outlineLevel="1"/>
    <col min="64" max="66" width="8.81640625" customWidth="1" outlineLevel="1"/>
    <col min="67" max="67" width="10.54296875" customWidth="1"/>
  </cols>
  <sheetData>
    <row r="1" spans="2:67" ht="13">
      <c r="B1" s="398" t="s">
        <v>8</v>
      </c>
      <c r="C1"/>
    </row>
    <row r="2" spans="2:67" ht="13">
      <c r="B2" s="398"/>
      <c r="C2"/>
    </row>
    <row r="3" spans="2:67" ht="15.5">
      <c r="B3" s="395" t="s">
        <v>9</v>
      </c>
      <c r="C3" s="146"/>
      <c r="D3" s="161"/>
      <c r="E3" s="146"/>
      <c r="F3" s="146"/>
      <c r="G3" s="181"/>
      <c r="H3" s="146"/>
      <c r="I3" s="156"/>
      <c r="J3" s="156"/>
      <c r="K3" s="156"/>
      <c r="L3" s="185"/>
    </row>
    <row r="4" spans="2:67" ht="15.5">
      <c r="B4" s="395" t="s">
        <v>163</v>
      </c>
      <c r="C4"/>
    </row>
    <row r="5" spans="2:67" s="195" customFormat="1" ht="12">
      <c r="B5" s="193" t="s">
        <v>164</v>
      </c>
      <c r="C5" s="192" t="s">
        <v>12</v>
      </c>
      <c r="D5" s="192" t="s">
        <v>13</v>
      </c>
      <c r="E5" s="192" t="s">
        <v>14</v>
      </c>
      <c r="F5" s="194" t="s">
        <v>15</v>
      </c>
      <c r="G5" s="194" t="s">
        <v>16</v>
      </c>
      <c r="H5" s="192" t="s">
        <v>17</v>
      </c>
      <c r="I5" s="192" t="s">
        <v>18</v>
      </c>
      <c r="J5" s="192" t="s">
        <v>19</v>
      </c>
      <c r="K5" s="194" t="s">
        <v>20</v>
      </c>
      <c r="L5" s="194" t="s">
        <v>21</v>
      </c>
      <c r="M5" s="192" t="s">
        <v>22</v>
      </c>
      <c r="N5" s="192" t="s">
        <v>23</v>
      </c>
      <c r="O5" s="192" t="s">
        <v>24</v>
      </c>
      <c r="P5" s="194" t="s">
        <v>25</v>
      </c>
      <c r="Q5" s="193" t="s">
        <v>165</v>
      </c>
      <c r="R5" s="251" t="s">
        <v>27</v>
      </c>
      <c r="S5" s="192" t="s">
        <v>28</v>
      </c>
      <c r="T5" s="192" t="s">
        <v>29</v>
      </c>
      <c r="U5" s="194" t="s">
        <v>30</v>
      </c>
      <c r="V5" s="193" t="s">
        <v>166</v>
      </c>
      <c r="W5" s="251" t="s">
        <v>32</v>
      </c>
      <c r="X5" s="192" t="s">
        <v>33</v>
      </c>
      <c r="Y5" s="192" t="s">
        <v>34</v>
      </c>
      <c r="Z5" s="194" t="s">
        <v>35</v>
      </c>
      <c r="AA5" s="193" t="s">
        <v>36</v>
      </c>
      <c r="AB5" s="187" t="s">
        <v>37</v>
      </c>
      <c r="AC5" s="187" t="s">
        <v>38</v>
      </c>
      <c r="AD5" s="187" t="s">
        <v>39</v>
      </c>
      <c r="AE5" s="187" t="s">
        <v>40</v>
      </c>
      <c r="AF5" s="193" t="s">
        <v>167</v>
      </c>
      <c r="AG5" s="187" t="s">
        <v>42</v>
      </c>
      <c r="AH5" s="187" t="s">
        <v>43</v>
      </c>
      <c r="AI5" s="187" t="s">
        <v>44</v>
      </c>
      <c r="AJ5" s="187" t="s">
        <v>45</v>
      </c>
      <c r="AK5" s="193" t="s">
        <v>46</v>
      </c>
      <c r="AL5" s="187" t="s">
        <v>47</v>
      </c>
      <c r="AM5" s="187" t="s">
        <v>48</v>
      </c>
      <c r="AN5" s="187" t="s">
        <v>49</v>
      </c>
      <c r="AO5" s="187" t="s">
        <v>50</v>
      </c>
      <c r="AP5" s="193" t="s">
        <v>51</v>
      </c>
      <c r="AQ5" s="187" t="s">
        <v>52</v>
      </c>
      <c r="AR5" s="187" t="s">
        <v>53</v>
      </c>
      <c r="AS5" s="187" t="s">
        <v>54</v>
      </c>
      <c r="AT5" s="187" t="s">
        <v>55</v>
      </c>
      <c r="AU5" s="188" t="s">
        <v>56</v>
      </c>
      <c r="AV5" s="187" t="s">
        <v>57</v>
      </c>
      <c r="AW5" s="187" t="s">
        <v>58</v>
      </c>
      <c r="AX5" s="187" t="s">
        <v>59</v>
      </c>
      <c r="AY5" s="187" t="s">
        <v>60</v>
      </c>
      <c r="AZ5" s="188" t="s">
        <v>61</v>
      </c>
      <c r="BA5" s="187" t="s">
        <v>62</v>
      </c>
      <c r="BB5" s="187" t="s">
        <v>63</v>
      </c>
      <c r="BC5" s="187" t="s">
        <v>64</v>
      </c>
      <c r="BD5" s="187" t="s">
        <v>65</v>
      </c>
      <c r="BE5" s="188" t="s">
        <v>66</v>
      </c>
      <c r="BF5" s="187" t="s">
        <v>67</v>
      </c>
      <c r="BG5" s="187" t="s">
        <v>68</v>
      </c>
      <c r="BH5" s="187" t="s">
        <v>69</v>
      </c>
      <c r="BI5" s="187" t="s">
        <v>70</v>
      </c>
      <c r="BJ5" s="188" t="s">
        <v>106</v>
      </c>
      <c r="BK5" s="187" t="s">
        <v>480</v>
      </c>
      <c r="BL5" s="187" t="s">
        <v>481</v>
      </c>
      <c r="BM5" s="187" t="s">
        <v>482</v>
      </c>
      <c r="BN5" s="187" t="s">
        <v>483</v>
      </c>
      <c r="BO5" s="188" t="s">
        <v>486</v>
      </c>
    </row>
    <row r="6" spans="2:67" ht="13">
      <c r="B6" s="87" t="s">
        <v>168</v>
      </c>
      <c r="C6" s="237"/>
      <c r="D6" s="243"/>
      <c r="E6" s="237"/>
      <c r="F6" s="171"/>
      <c r="G6" s="441"/>
      <c r="H6" s="237"/>
      <c r="I6" s="244"/>
      <c r="J6" s="244"/>
      <c r="K6" s="165"/>
      <c r="L6" s="442"/>
      <c r="M6" s="237"/>
      <c r="N6" s="147"/>
      <c r="O6" s="16"/>
      <c r="P6" s="21"/>
      <c r="Q6" s="205"/>
      <c r="R6" s="226"/>
      <c r="S6" s="16"/>
      <c r="T6" s="16"/>
      <c r="U6" s="21"/>
      <c r="V6" s="205"/>
      <c r="W6" s="226"/>
      <c r="X6" s="16"/>
      <c r="Y6" s="16"/>
      <c r="Z6" s="21"/>
      <c r="AA6" s="205"/>
      <c r="AB6" s="226"/>
      <c r="AC6" s="360"/>
      <c r="AD6" s="16"/>
      <c r="AE6" s="21"/>
      <c r="AF6" s="205"/>
      <c r="AG6" s="226"/>
      <c r="AH6" s="360"/>
      <c r="AI6" s="360"/>
      <c r="AJ6" s="21"/>
      <c r="AK6" s="205"/>
      <c r="AL6" s="226"/>
      <c r="AM6" s="360"/>
      <c r="AN6" s="360"/>
      <c r="AO6" s="21"/>
      <c r="AP6" s="205"/>
      <c r="AQ6" s="226"/>
      <c r="AR6" s="360"/>
      <c r="AS6" s="360"/>
      <c r="AT6" s="21"/>
      <c r="AU6" s="205"/>
      <c r="AV6" s="226"/>
      <c r="AW6" s="360"/>
      <c r="AX6" s="360"/>
      <c r="AY6" s="21"/>
      <c r="AZ6" s="205"/>
      <c r="BA6" s="226"/>
      <c r="BB6" s="360"/>
      <c r="BC6" s="360"/>
      <c r="BD6" s="21"/>
      <c r="BE6" s="205"/>
      <c r="BF6" s="226"/>
      <c r="BG6" s="360"/>
      <c r="BH6" s="360"/>
      <c r="BI6" s="21"/>
      <c r="BJ6" s="205"/>
      <c r="BK6" s="226"/>
      <c r="BL6" s="360"/>
      <c r="BM6" s="360"/>
      <c r="BN6" s="21"/>
      <c r="BO6" s="205"/>
    </row>
    <row r="7" spans="2:67" s="158" customFormat="1" ht="13">
      <c r="B7" s="174" t="s">
        <v>169</v>
      </c>
      <c r="C7" s="238">
        <v>2886</v>
      </c>
      <c r="D7" s="238">
        <f>5982-C7</f>
        <v>3096</v>
      </c>
      <c r="E7" s="238">
        <f>9232-D7-C7</f>
        <v>3250</v>
      </c>
      <c r="F7" s="173">
        <f>12329-C7-D7-E7</f>
        <v>3097</v>
      </c>
      <c r="G7" s="164">
        <f>SUM(C7:F7)</f>
        <v>12329</v>
      </c>
      <c r="H7" s="244">
        <v>3030</v>
      </c>
      <c r="I7" s="244">
        <f>6429-H7</f>
        <v>3399</v>
      </c>
      <c r="J7" s="244">
        <f>9894-I7-H7</f>
        <v>3465</v>
      </c>
      <c r="K7" s="165">
        <f>13491-H7-I7-J7</f>
        <v>3597</v>
      </c>
      <c r="L7" s="164">
        <f>SUM(H7:K7)</f>
        <v>13491</v>
      </c>
      <c r="M7" s="293">
        <v>3436</v>
      </c>
      <c r="N7" s="93">
        <f>7041-M7</f>
        <v>3605</v>
      </c>
      <c r="O7" s="93">
        <f>10749-M7-N7</f>
        <v>3708</v>
      </c>
      <c r="P7" s="108">
        <v>3604</v>
      </c>
      <c r="Q7" s="206">
        <f>SUM(M7:P7)</f>
        <v>14353</v>
      </c>
      <c r="R7" s="294">
        <v>3483</v>
      </c>
      <c r="S7" s="93">
        <v>3726</v>
      </c>
      <c r="T7" s="93">
        <f>12339-R7-S7</f>
        <v>5130</v>
      </c>
      <c r="U7" s="108">
        <f>16029-T7-S7-R7</f>
        <v>3690</v>
      </c>
      <c r="V7" s="206">
        <f>SUM(R7:U7)</f>
        <v>16029</v>
      </c>
      <c r="W7" s="294">
        <v>3612</v>
      </c>
      <c r="X7" s="93">
        <f>7722-W7</f>
        <v>4110</v>
      </c>
      <c r="Y7" s="93">
        <f>11332-X7-W7</f>
        <v>3610</v>
      </c>
      <c r="Z7" s="108">
        <v>4078</v>
      </c>
      <c r="AA7" s="206">
        <f>SUM(W7:Z7)</f>
        <v>15410</v>
      </c>
      <c r="AB7" s="294">
        <v>3802</v>
      </c>
      <c r="AC7" s="361">
        <v>4037</v>
      </c>
      <c r="AD7" s="361">
        <v>4466</v>
      </c>
      <c r="AE7" s="108">
        <v>4335</v>
      </c>
      <c r="AF7" s="296">
        <f>SUM(AB7:AE7)-1</f>
        <v>16639</v>
      </c>
      <c r="AG7" s="294">
        <v>4272</v>
      </c>
      <c r="AH7" s="361">
        <f>9131-AG7-1</f>
        <v>4858</v>
      </c>
      <c r="AI7" s="361">
        <f>14345-AH7-AG7</f>
        <v>5215</v>
      </c>
      <c r="AJ7" s="108">
        <f>19423-AI7-AH7-AG7</f>
        <v>5078</v>
      </c>
      <c r="AK7" s="296">
        <f>SUM(AG7:AJ7)</f>
        <v>19423</v>
      </c>
      <c r="AL7" s="294">
        <v>5201</v>
      </c>
      <c r="AM7" s="361">
        <f>10629-AL7</f>
        <v>5428</v>
      </c>
      <c r="AN7" s="361">
        <f>16451-AM7-AL7</f>
        <v>5822</v>
      </c>
      <c r="AO7" s="108">
        <f>22146-AN7-AM7-AL7</f>
        <v>5695</v>
      </c>
      <c r="AP7" s="296">
        <f>SUM(AL7:AO7)</f>
        <v>22146</v>
      </c>
      <c r="AQ7" s="294">
        <v>5362</v>
      </c>
      <c r="AR7" s="361">
        <f>11388-AQ7</f>
        <v>6026</v>
      </c>
      <c r="AS7" s="361">
        <f>17974-AR7-AQ7</f>
        <v>6586</v>
      </c>
      <c r="AT7" s="108">
        <f>24108-AS7-AR7-AQ7</f>
        <v>6134</v>
      </c>
      <c r="AU7" s="296">
        <f>SUM(AQ7:AT7)</f>
        <v>24108</v>
      </c>
      <c r="AV7" s="294">
        <v>5945</v>
      </c>
      <c r="AW7" s="361">
        <f>12160-AV7</f>
        <v>6215</v>
      </c>
      <c r="AX7" s="361">
        <f>18274-SUM(AV7:AW7)</f>
        <v>6114</v>
      </c>
      <c r="AY7" s="25">
        <f>26248-SUM(AV7:AX7)</f>
        <v>7974</v>
      </c>
      <c r="AZ7" s="296">
        <f>SUM(AV7:AY7)</f>
        <v>26248</v>
      </c>
      <c r="BA7" s="294">
        <v>6374</v>
      </c>
      <c r="BB7" s="361">
        <f>12890-BA7</f>
        <v>6516</v>
      </c>
      <c r="BC7" s="361">
        <f>19712-BB7-BA7</f>
        <v>6822</v>
      </c>
      <c r="BD7" s="25">
        <f>26750-SUM(BA7:BC7)</f>
        <v>7038</v>
      </c>
      <c r="BE7" s="296">
        <f>SUM(BA7:BD7)</f>
        <v>26750</v>
      </c>
      <c r="BF7" s="294">
        <v>6924</v>
      </c>
      <c r="BG7" s="361">
        <f>14300-BF7-1</f>
        <v>7375</v>
      </c>
      <c r="BH7" s="361">
        <f>20965-BF7-BG7+1</f>
        <v>6667</v>
      </c>
      <c r="BI7" s="25">
        <f>29474-BH7-BG7-BF7+1</f>
        <v>8509</v>
      </c>
      <c r="BJ7" s="296">
        <f>SUM(BF7:BI7)-1</f>
        <v>29474</v>
      </c>
      <c r="BK7" s="294">
        <v>7775</v>
      </c>
      <c r="BL7" s="361">
        <f>BO7-BK7</f>
        <v>7838</v>
      </c>
      <c r="BM7" s="361"/>
      <c r="BN7" s="25"/>
      <c r="BO7" s="296">
        <v>15613</v>
      </c>
    </row>
    <row r="8" spans="2:67" ht="13">
      <c r="B8" s="175" t="s">
        <v>170</v>
      </c>
      <c r="C8" s="242"/>
      <c r="D8" s="242"/>
      <c r="E8" s="242"/>
      <c r="F8" s="172"/>
      <c r="G8" s="443"/>
      <c r="H8" s="444"/>
      <c r="I8" s="247"/>
      <c r="J8" s="247"/>
      <c r="K8" s="166"/>
      <c r="L8" s="442"/>
      <c r="M8" s="240"/>
      <c r="N8" s="89"/>
      <c r="O8" s="89"/>
      <c r="P8" s="90"/>
      <c r="Q8" s="445"/>
      <c r="R8" s="227"/>
      <c r="S8" s="89"/>
      <c r="T8" s="89"/>
      <c r="U8" s="90"/>
      <c r="V8" s="445"/>
      <c r="W8" s="227"/>
      <c r="X8" s="89"/>
      <c r="Y8" s="89"/>
      <c r="Z8" s="90"/>
      <c r="AA8" s="445"/>
      <c r="AB8" s="227"/>
      <c r="AC8" s="19"/>
      <c r="AD8" s="19"/>
      <c r="AE8" s="90"/>
      <c r="AF8" s="207"/>
      <c r="AG8" s="227"/>
      <c r="AH8" s="19"/>
      <c r="AI8" s="19"/>
      <c r="AJ8" s="90"/>
      <c r="AK8" s="207"/>
      <c r="AL8" s="227"/>
      <c r="AM8" s="19"/>
      <c r="AN8" s="19"/>
      <c r="AO8" s="90"/>
      <c r="AP8" s="207"/>
      <c r="AQ8" s="227"/>
      <c r="AR8" s="19"/>
      <c r="AS8" s="19"/>
      <c r="AT8" s="90"/>
      <c r="AU8" s="207"/>
      <c r="AV8" s="227"/>
      <c r="AW8" s="19"/>
      <c r="AX8" s="19"/>
      <c r="AY8" s="90"/>
      <c r="AZ8" s="207"/>
      <c r="BA8" s="227"/>
      <c r="BB8" s="19"/>
      <c r="BC8" s="19"/>
      <c r="BD8" s="90"/>
      <c r="BE8" s="207"/>
      <c r="BF8" s="227"/>
      <c r="BG8" s="19"/>
      <c r="BH8" s="19"/>
      <c r="BI8" s="90"/>
      <c r="BJ8" s="207"/>
      <c r="BK8" s="227"/>
      <c r="BL8" s="19"/>
      <c r="BM8" s="19"/>
      <c r="BN8" s="90"/>
      <c r="BO8" s="207"/>
    </row>
    <row r="9" spans="2:67" ht="13">
      <c r="B9" s="392" t="s">
        <v>171</v>
      </c>
      <c r="C9" s="446">
        <v>230</v>
      </c>
      <c r="D9" s="446">
        <f>521-C9</f>
        <v>291</v>
      </c>
      <c r="E9" s="446">
        <f>786-C9-D9</f>
        <v>265</v>
      </c>
      <c r="F9" s="447">
        <f>1069-C9-D9-E9</f>
        <v>283</v>
      </c>
      <c r="G9" s="442">
        <f t="shared" ref="G9:G31" si="0">SUM(C9:F9)</f>
        <v>1069</v>
      </c>
      <c r="H9" s="444">
        <v>313</v>
      </c>
      <c r="I9" s="444">
        <f>671-H9</f>
        <v>358</v>
      </c>
      <c r="J9" s="444">
        <f>1040-I9-H9</f>
        <v>369</v>
      </c>
      <c r="K9" s="448">
        <f>1459-H9-I9-J9</f>
        <v>419</v>
      </c>
      <c r="L9" s="442">
        <f t="shared" ref="L9:L31" si="1">SUM(H9:K9)</f>
        <v>1459</v>
      </c>
      <c r="M9" s="449">
        <v>400</v>
      </c>
      <c r="N9" s="89">
        <f>824-M9</f>
        <v>424</v>
      </c>
      <c r="O9" s="89">
        <f>1257-M9-N9</f>
        <v>433</v>
      </c>
      <c r="P9" s="90">
        <v>446</v>
      </c>
      <c r="Q9" s="445">
        <f t="shared" ref="Q9:Q31" si="2">SUM(M9:P9)</f>
        <v>1703</v>
      </c>
      <c r="R9" s="450">
        <v>450</v>
      </c>
      <c r="S9" s="89">
        <v>456</v>
      </c>
      <c r="T9" s="89">
        <f>1404-R9-S9</f>
        <v>498</v>
      </c>
      <c r="U9" s="90">
        <f>1863-T9-S9-R9</f>
        <v>459</v>
      </c>
      <c r="V9" s="445">
        <f t="shared" ref="V9:V31" si="3">SUM(R9:U9)</f>
        <v>1863</v>
      </c>
      <c r="W9" s="450">
        <v>436</v>
      </c>
      <c r="X9" s="89">
        <f>900-W9</f>
        <v>464</v>
      </c>
      <c r="Y9" s="89">
        <f>1480-X9-W9</f>
        <v>580</v>
      </c>
      <c r="Z9" s="90">
        <f>2011-Y9-X9-W9</f>
        <v>531</v>
      </c>
      <c r="AA9" s="445">
        <f t="shared" ref="AA9:AA31" si="4">SUM(W9:Z9)</f>
        <v>2011</v>
      </c>
      <c r="AB9" s="450">
        <v>681</v>
      </c>
      <c r="AC9" s="451">
        <v>727</v>
      </c>
      <c r="AD9" s="451">
        <v>736</v>
      </c>
      <c r="AE9" s="90">
        <v>749</v>
      </c>
      <c r="AF9" s="207">
        <f>SUM(AB9:AE9)</f>
        <v>2893</v>
      </c>
      <c r="AG9" s="450">
        <v>756</v>
      </c>
      <c r="AH9" s="451">
        <f>1611-AG9</f>
        <v>855</v>
      </c>
      <c r="AI9" s="451">
        <f>2436-AH9-AG9</f>
        <v>825</v>
      </c>
      <c r="AJ9" s="90">
        <f>3267-AI9-AH9-AG9</f>
        <v>831</v>
      </c>
      <c r="AK9" s="207">
        <f>SUM(AG9:AJ9)</f>
        <v>3267</v>
      </c>
      <c r="AL9" s="450">
        <v>829</v>
      </c>
      <c r="AM9" s="451">
        <f>1687-AL9</f>
        <v>858</v>
      </c>
      <c r="AN9" s="451">
        <f>2586-AM9-AL9</f>
        <v>899</v>
      </c>
      <c r="AO9" s="90">
        <f>3476-AN9-AM9-AL9</f>
        <v>890</v>
      </c>
      <c r="AP9" s="207">
        <f>SUM(AL9:AO9)</f>
        <v>3476</v>
      </c>
      <c r="AQ9" s="450">
        <v>950</v>
      </c>
      <c r="AR9" s="451">
        <f>1979-AQ9</f>
        <v>1029</v>
      </c>
      <c r="AS9" s="451">
        <f>3104-AR9-AQ9</f>
        <v>1125</v>
      </c>
      <c r="AT9" s="90">
        <f>4225-AS9-AR9-AQ9</f>
        <v>1121</v>
      </c>
      <c r="AU9" s="207">
        <f>SUM(AQ9:AT9)</f>
        <v>4225</v>
      </c>
      <c r="AV9" s="450">
        <v>1173</v>
      </c>
      <c r="AW9" s="451">
        <f>2339-AV9</f>
        <v>1166</v>
      </c>
      <c r="AX9" s="451">
        <f>3515-SUM(AV9:AW9)</f>
        <v>1176</v>
      </c>
      <c r="AY9" s="90">
        <f>4678-SUM(AV9:AX9)</f>
        <v>1163</v>
      </c>
      <c r="AZ9" s="207">
        <f>SUM(AV9:AY9)</f>
        <v>4678</v>
      </c>
      <c r="BA9" s="450">
        <v>1149</v>
      </c>
      <c r="BB9" s="451">
        <f>2310-BA9</f>
        <v>1161</v>
      </c>
      <c r="BC9" s="451">
        <f>3512-BB9-BA9</f>
        <v>1202</v>
      </c>
      <c r="BD9" s="90">
        <f>4812-SUM(BA9:BC9)</f>
        <v>1300</v>
      </c>
      <c r="BE9" s="207">
        <f>SUM(BA9:BD9)</f>
        <v>4812</v>
      </c>
      <c r="BF9" s="450">
        <v>1140</v>
      </c>
      <c r="BG9" s="451">
        <f>2323-BF9</f>
        <v>1183</v>
      </c>
      <c r="BH9" s="451">
        <f>3478-BF9-BG9</f>
        <v>1155</v>
      </c>
      <c r="BI9" s="90">
        <f>4902-BH9-BG9-BF9</f>
        <v>1424</v>
      </c>
      <c r="BJ9" s="207">
        <f>SUM(BF9:BI9)</f>
        <v>4902</v>
      </c>
      <c r="BK9" s="450">
        <v>1246</v>
      </c>
      <c r="BL9" s="451">
        <f>BO9-BK9</f>
        <v>1359</v>
      </c>
      <c r="BM9" s="451"/>
      <c r="BN9" s="90"/>
      <c r="BO9" s="207">
        <v>2605</v>
      </c>
    </row>
    <row r="10" spans="2:67" ht="13">
      <c r="B10" s="392" t="s">
        <v>89</v>
      </c>
      <c r="C10" s="446">
        <v>1154</v>
      </c>
      <c r="D10" s="446">
        <f>2418-C10</f>
        <v>1264</v>
      </c>
      <c r="E10" s="446">
        <f>3697-C10-D10</f>
        <v>1279</v>
      </c>
      <c r="F10" s="447">
        <f>4929-C10-D10-E10</f>
        <v>1232</v>
      </c>
      <c r="G10" s="442">
        <f t="shared" si="0"/>
        <v>4929</v>
      </c>
      <c r="H10" s="444">
        <v>1175</v>
      </c>
      <c r="I10" s="444">
        <f>2562-H10</f>
        <v>1387</v>
      </c>
      <c r="J10" s="444">
        <f>3857-I10-H10</f>
        <v>1295</v>
      </c>
      <c r="K10" s="448">
        <f>5251-H10-I10-J10</f>
        <v>1394</v>
      </c>
      <c r="L10" s="442">
        <f t="shared" si="1"/>
        <v>5251</v>
      </c>
      <c r="M10" s="295">
        <v>1362</v>
      </c>
      <c r="N10" s="89">
        <f>2822-M10</f>
        <v>1460</v>
      </c>
      <c r="O10" s="89">
        <f>4268-M10-N10</f>
        <v>1446</v>
      </c>
      <c r="P10" s="90">
        <v>1330</v>
      </c>
      <c r="Q10" s="445">
        <f t="shared" si="2"/>
        <v>5598</v>
      </c>
      <c r="R10" s="450">
        <v>1371</v>
      </c>
      <c r="S10" s="89">
        <v>1403</v>
      </c>
      <c r="T10" s="89">
        <f>2925-R10-S10</f>
        <v>151</v>
      </c>
      <c r="U10" s="90">
        <f>4241-T10-S10-R10</f>
        <v>1316</v>
      </c>
      <c r="V10" s="445">
        <f t="shared" si="3"/>
        <v>4241</v>
      </c>
      <c r="W10" s="450">
        <v>1381</v>
      </c>
      <c r="X10" s="89">
        <f>2905-W10</f>
        <v>1524</v>
      </c>
      <c r="Y10" s="89">
        <f>4426-X10-W10+1</f>
        <v>1522</v>
      </c>
      <c r="Z10" s="90">
        <f>5631-Y10-X10-W10+1</f>
        <v>1205</v>
      </c>
      <c r="AA10" s="445">
        <f>SUM(W10:Z10)-1</f>
        <v>5631</v>
      </c>
      <c r="AB10" s="450">
        <v>1365</v>
      </c>
      <c r="AC10" s="451">
        <v>1459</v>
      </c>
      <c r="AD10" s="451">
        <v>1383</v>
      </c>
      <c r="AE10" s="90">
        <v>1161</v>
      </c>
      <c r="AF10" s="207">
        <f>SUM(AB10:AE10)</f>
        <v>5368</v>
      </c>
      <c r="AG10" s="450">
        <v>1520</v>
      </c>
      <c r="AH10" s="451">
        <f>3412-AG10</f>
        <v>1892</v>
      </c>
      <c r="AI10" s="451">
        <f>5349-AH10-AG10-1</f>
        <v>1936</v>
      </c>
      <c r="AJ10" s="90">
        <f>7205-AI10-AH10-AG10-1</f>
        <v>1856</v>
      </c>
      <c r="AK10" s="207">
        <f>SUM(AG10:AJ10)+1</f>
        <v>7205</v>
      </c>
      <c r="AL10" s="450">
        <v>1975</v>
      </c>
      <c r="AM10" s="451">
        <f>3994-AL10</f>
        <v>2019</v>
      </c>
      <c r="AN10" s="451">
        <f>6116-AM10-AL10</f>
        <v>2122</v>
      </c>
      <c r="AO10" s="90">
        <f>7964-AN10-AM10-AL10</f>
        <v>1848</v>
      </c>
      <c r="AP10" s="207">
        <f>SUM(AL10:AO10)</f>
        <v>7964</v>
      </c>
      <c r="AQ10" s="450">
        <v>2172</v>
      </c>
      <c r="AR10" s="451">
        <f>4537-AQ10</f>
        <v>2365</v>
      </c>
      <c r="AS10" s="451">
        <f>6882-AR10-AQ10</f>
        <v>2345</v>
      </c>
      <c r="AT10" s="90">
        <f>9214-AS10-AR10-AQ10</f>
        <v>2332</v>
      </c>
      <c r="AU10" s="207">
        <f>SUM(AQ10:AT10)</f>
        <v>9214</v>
      </c>
      <c r="AV10" s="450">
        <v>2417</v>
      </c>
      <c r="AW10" s="451">
        <f>4970-AV10</f>
        <v>2553</v>
      </c>
      <c r="AX10" s="451">
        <f>7474-SUM(AV10:AW10)</f>
        <v>2504</v>
      </c>
      <c r="AY10" s="29">
        <f>9740-SUM(AV10:AX10)</f>
        <v>2266</v>
      </c>
      <c r="AZ10" s="207">
        <f t="shared" ref="AZ10:AZ21" si="5">SUM(AV10:AY10)</f>
        <v>9740</v>
      </c>
      <c r="BA10" s="450">
        <v>2647</v>
      </c>
      <c r="BB10" s="451">
        <f>5384-BA10</f>
        <v>2737</v>
      </c>
      <c r="BC10" s="451">
        <f>8233-BB10-BA10</f>
        <v>2849</v>
      </c>
      <c r="BD10" s="29">
        <f>10858-SUM(BA10:BC10)</f>
        <v>2625</v>
      </c>
      <c r="BE10" s="207">
        <f t="shared" ref="BE10:BE21" si="6">SUM(BA10:BD10)</f>
        <v>10858</v>
      </c>
      <c r="BF10" s="450">
        <v>2816</v>
      </c>
      <c r="BG10" s="451">
        <f>5670-BF10</f>
        <v>2854</v>
      </c>
      <c r="BH10" s="451">
        <f>8234-BF10-BG10-1</f>
        <v>2563</v>
      </c>
      <c r="BI10" s="29">
        <f>10521-BH10-BG10-BF10</f>
        <v>2288</v>
      </c>
      <c r="BJ10" s="207">
        <f>SUM(BF10:BI10)</f>
        <v>10521</v>
      </c>
      <c r="BK10" s="450">
        <v>3253</v>
      </c>
      <c r="BL10" s="451">
        <f>BO10-BK10</f>
        <v>3225</v>
      </c>
      <c r="BM10" s="451"/>
      <c r="BN10" s="29"/>
      <c r="BO10" s="207">
        <v>6478</v>
      </c>
    </row>
    <row r="11" spans="2:67" ht="13">
      <c r="B11" s="176" t="s">
        <v>172</v>
      </c>
      <c r="C11" s="239">
        <v>-98</v>
      </c>
      <c r="D11" s="239">
        <f>-179-C11</f>
        <v>-81</v>
      </c>
      <c r="E11" s="239">
        <f>-241-C11-D11</f>
        <v>-62</v>
      </c>
      <c r="F11" s="167">
        <f>-292-C11-D11-E11</f>
        <v>-51</v>
      </c>
      <c r="G11" s="182">
        <f t="shared" si="0"/>
        <v>-292</v>
      </c>
      <c r="H11" s="245">
        <v>-49</v>
      </c>
      <c r="I11" s="239">
        <f>-96-H11</f>
        <v>-47</v>
      </c>
      <c r="J11" s="239">
        <f>-136-I11-H11</f>
        <v>-40</v>
      </c>
      <c r="K11" s="167">
        <f>-176-H11-I11-J11</f>
        <v>-40</v>
      </c>
      <c r="L11" s="182">
        <f t="shared" si="1"/>
        <v>-176</v>
      </c>
      <c r="M11" s="19">
        <v>-50</v>
      </c>
      <c r="N11" s="89">
        <f>-90-M11</f>
        <v>-40</v>
      </c>
      <c r="O11" s="89">
        <f>-153-M11-N11</f>
        <v>-63</v>
      </c>
      <c r="P11" s="90">
        <v>-195</v>
      </c>
      <c r="Q11" s="207">
        <f t="shared" si="2"/>
        <v>-348</v>
      </c>
      <c r="R11" s="227">
        <v>-240</v>
      </c>
      <c r="S11" s="89">
        <v>-236</v>
      </c>
      <c r="T11" s="89">
        <f>-661-R11-S11</f>
        <v>-185</v>
      </c>
      <c r="U11" s="90">
        <f>-829-T11-S11-R11</f>
        <v>-168</v>
      </c>
      <c r="V11" s="207">
        <f t="shared" si="3"/>
        <v>-829</v>
      </c>
      <c r="W11" s="227">
        <v>-202</v>
      </c>
      <c r="X11" s="89">
        <f>-398-W11</f>
        <v>-196</v>
      </c>
      <c r="Y11" s="89">
        <f>-611-X11-W11</f>
        <v>-213</v>
      </c>
      <c r="Z11" s="90">
        <f>-910-Y11-X11-W11</f>
        <v>-299</v>
      </c>
      <c r="AA11" s="207">
        <f t="shared" si="4"/>
        <v>-910</v>
      </c>
      <c r="AB11" s="227">
        <v>-158</v>
      </c>
      <c r="AC11" s="19">
        <v>-125</v>
      </c>
      <c r="AD11" s="19">
        <v>-100</v>
      </c>
      <c r="AE11" s="90">
        <v>-105</v>
      </c>
      <c r="AF11" s="207">
        <f t="shared" ref="AF11:AF16" si="7">SUM(AB11:AE11)</f>
        <v>-488</v>
      </c>
      <c r="AG11" s="227">
        <v>-128</v>
      </c>
      <c r="AH11" s="19">
        <f>-273-AG11</f>
        <v>-145</v>
      </c>
      <c r="AI11" s="19">
        <f>-410-AH11-AG11</f>
        <v>-137</v>
      </c>
      <c r="AJ11" s="90">
        <f>-577-AI11-AH11-AG11</f>
        <v>-167</v>
      </c>
      <c r="AK11" s="207">
        <f t="shared" ref="AK11:AK16" si="8">SUM(AG11:AJ11)</f>
        <v>-577</v>
      </c>
      <c r="AL11" s="227">
        <v>-199</v>
      </c>
      <c r="AM11" s="19">
        <f>-396-AL11</f>
        <v>-197</v>
      </c>
      <c r="AN11" s="19">
        <f>-577-AM11-AL11</f>
        <v>-181</v>
      </c>
      <c r="AO11" s="90">
        <f>-807-AN11-AM11-AL11</f>
        <v>-230</v>
      </c>
      <c r="AP11" s="207">
        <f t="shared" ref="AP11:AP16" si="9">SUM(AL11:AO11)</f>
        <v>-807</v>
      </c>
      <c r="AQ11" s="227">
        <v>-280</v>
      </c>
      <c r="AR11" s="19">
        <f>-564-AQ11</f>
        <v>-284</v>
      </c>
      <c r="AS11" s="19">
        <f>-847-AR11-AQ11</f>
        <v>-283</v>
      </c>
      <c r="AT11" s="90">
        <f>-1118-AS11-AR11-AQ11</f>
        <v>-271</v>
      </c>
      <c r="AU11" s="207">
        <f t="shared" ref="AU11:AU16" si="10">SUM(AQ11:AT11)</f>
        <v>-1118</v>
      </c>
      <c r="AV11" s="450">
        <v>-278</v>
      </c>
      <c r="AW11" s="19">
        <f>-526-AV11</f>
        <v>-248</v>
      </c>
      <c r="AX11" s="19">
        <f>-790-SUM(AV11:AW11)</f>
        <v>-264</v>
      </c>
      <c r="AY11" s="90">
        <f>-1138-SUM(AV11:AX11)</f>
        <v>-348</v>
      </c>
      <c r="AZ11" s="207">
        <f t="shared" si="5"/>
        <v>-1138</v>
      </c>
      <c r="BA11" s="450">
        <v>-359</v>
      </c>
      <c r="BB11" s="451">
        <f>-608-BA11+1</f>
        <v>-248</v>
      </c>
      <c r="BC11" s="19">
        <f>-833-BB11-BA11</f>
        <v>-226</v>
      </c>
      <c r="BD11" s="90">
        <f>-1168-SUM(BA11:BC11)</f>
        <v>-335</v>
      </c>
      <c r="BE11" s="207">
        <f>SUM(BA11:BD11)</f>
        <v>-1168</v>
      </c>
      <c r="BF11" s="450">
        <v>-358</v>
      </c>
      <c r="BG11" s="451">
        <f>-616-BF11</f>
        <v>-258</v>
      </c>
      <c r="BH11" s="19">
        <f>-851-BF11-BG11+1</f>
        <v>-234</v>
      </c>
      <c r="BI11" s="90">
        <f>-1125-BH11-BG11-BF11</f>
        <v>-275</v>
      </c>
      <c r="BJ11" s="207">
        <f>SUM(BF11:BI11)</f>
        <v>-1125</v>
      </c>
      <c r="BK11" s="450">
        <v>-335</v>
      </c>
      <c r="BL11" s="451">
        <f>BO11-BK11</f>
        <v>-291</v>
      </c>
      <c r="BM11" s="19"/>
      <c r="BN11" s="90"/>
      <c r="BO11" s="207">
        <v>-626</v>
      </c>
    </row>
    <row r="12" spans="2:67" ht="13">
      <c r="B12" s="138" t="s">
        <v>84</v>
      </c>
      <c r="C12" s="239"/>
      <c r="D12" s="239"/>
      <c r="E12" s="239"/>
      <c r="F12" s="167"/>
      <c r="G12" s="182"/>
      <c r="H12" s="245"/>
      <c r="I12" s="239"/>
      <c r="J12" s="239"/>
      <c r="K12" s="167"/>
      <c r="L12" s="182"/>
      <c r="M12" s="19"/>
      <c r="N12" s="89"/>
      <c r="O12" s="89"/>
      <c r="P12" s="90"/>
      <c r="Q12" s="207"/>
      <c r="R12" s="227"/>
      <c r="S12" s="89"/>
      <c r="T12" s="89"/>
      <c r="U12" s="90"/>
      <c r="V12" s="207"/>
      <c r="W12" s="227"/>
      <c r="X12" s="89"/>
      <c r="Y12" s="89"/>
      <c r="Z12" s="90"/>
      <c r="AA12" s="207"/>
      <c r="AB12" s="227">
        <v>40</v>
      </c>
      <c r="AC12" s="19">
        <v>42</v>
      </c>
      <c r="AD12" s="19">
        <v>43</v>
      </c>
      <c r="AE12" s="90">
        <v>45</v>
      </c>
      <c r="AF12" s="207">
        <f t="shared" si="7"/>
        <v>170</v>
      </c>
      <c r="AG12" s="227">
        <v>48</v>
      </c>
      <c r="AH12" s="19">
        <f>96-AG12</f>
        <v>48</v>
      </c>
      <c r="AI12" s="19">
        <f>145-AH12-AG12</f>
        <v>49</v>
      </c>
      <c r="AJ12" s="90">
        <f>195-AI12-AH12-AG12</f>
        <v>50</v>
      </c>
      <c r="AK12" s="207">
        <f t="shared" si="8"/>
        <v>195</v>
      </c>
      <c r="AL12" s="227">
        <v>49</v>
      </c>
      <c r="AM12" s="19">
        <f>98-AL12</f>
        <v>49</v>
      </c>
      <c r="AN12" s="19">
        <f>150-AM12-AL12</f>
        <v>52</v>
      </c>
      <c r="AO12" s="90">
        <f>200-AN12-AM12-AL12</f>
        <v>50</v>
      </c>
      <c r="AP12" s="207">
        <f t="shared" si="9"/>
        <v>200</v>
      </c>
      <c r="AQ12" s="227">
        <v>56</v>
      </c>
      <c r="AR12" s="19">
        <f>121-AQ12</f>
        <v>65</v>
      </c>
      <c r="AS12" s="19">
        <f>202-AR12-AQ12</f>
        <v>81</v>
      </c>
      <c r="AT12" s="90">
        <f>284-AS12-AR12-AQ12</f>
        <v>82</v>
      </c>
      <c r="AU12" s="207">
        <f t="shared" si="10"/>
        <v>284</v>
      </c>
      <c r="AV12" s="450">
        <v>90</v>
      </c>
      <c r="AW12" s="19">
        <f>228-AV12</f>
        <v>138</v>
      </c>
      <c r="AX12" s="19">
        <f>360-SUM(AV12:AW12)</f>
        <v>132</v>
      </c>
      <c r="AY12" s="90">
        <f>470-SUM(AV12:AX12)</f>
        <v>110</v>
      </c>
      <c r="AZ12" s="207">
        <f t="shared" si="5"/>
        <v>470</v>
      </c>
      <c r="BA12" s="450">
        <v>106</v>
      </c>
      <c r="BB12" s="19">
        <f>214-BA12</f>
        <v>108</v>
      </c>
      <c r="BC12" s="19">
        <f>314-BB12-BA12</f>
        <v>100</v>
      </c>
      <c r="BD12" s="90">
        <f>416-SUM(BA12:BC12)</f>
        <v>102</v>
      </c>
      <c r="BE12" s="207">
        <f t="shared" si="6"/>
        <v>416</v>
      </c>
      <c r="BF12" s="450">
        <v>105</v>
      </c>
      <c r="BG12" s="19">
        <f>211-BF12-1</f>
        <v>105</v>
      </c>
      <c r="BH12" s="19">
        <f>310-BF12-BG12</f>
        <v>100</v>
      </c>
      <c r="BI12" s="90">
        <f>416-BH12-BG12-BF12</f>
        <v>106</v>
      </c>
      <c r="BJ12" s="207">
        <f>SUM(BF12:BI12)</f>
        <v>416</v>
      </c>
      <c r="BK12" s="450">
        <v>119</v>
      </c>
      <c r="BL12" s="19">
        <f>BO12-BK12</f>
        <v>116</v>
      </c>
      <c r="BM12" s="19"/>
      <c r="BN12" s="90"/>
      <c r="BO12" s="207">
        <v>235</v>
      </c>
    </row>
    <row r="13" spans="2:67" ht="13">
      <c r="B13" s="452" t="s">
        <v>173</v>
      </c>
      <c r="C13" s="453">
        <v>2</v>
      </c>
      <c r="D13" s="453">
        <f>15-C13</f>
        <v>13</v>
      </c>
      <c r="E13" s="453">
        <f>48-C13-D13</f>
        <v>33</v>
      </c>
      <c r="F13" s="454">
        <f>97-C13-D13-E13</f>
        <v>49</v>
      </c>
      <c r="G13" s="442">
        <f t="shared" si="0"/>
        <v>97</v>
      </c>
      <c r="H13" s="444">
        <v>7</v>
      </c>
      <c r="I13" s="453">
        <f>50-H13</f>
        <v>43</v>
      </c>
      <c r="J13" s="453">
        <f>57-I13-H13</f>
        <v>7</v>
      </c>
      <c r="K13" s="454">
        <f>71-H13-I13-J13</f>
        <v>14</v>
      </c>
      <c r="L13" s="442">
        <f t="shared" si="1"/>
        <v>71</v>
      </c>
      <c r="M13" s="295">
        <v>18</v>
      </c>
      <c r="N13" s="89">
        <f>27-M13</f>
        <v>9</v>
      </c>
      <c r="O13" s="89">
        <f>46-M13-N13</f>
        <v>19</v>
      </c>
      <c r="P13" s="90">
        <v>-8</v>
      </c>
      <c r="Q13" s="445">
        <f t="shared" si="2"/>
        <v>38</v>
      </c>
      <c r="R13" s="450">
        <v>-3</v>
      </c>
      <c r="S13" s="89">
        <v>-6</v>
      </c>
      <c r="T13" s="89">
        <f>14-R13-S13</f>
        <v>23</v>
      </c>
      <c r="U13" s="90">
        <f>16-T13-S13-R13</f>
        <v>2</v>
      </c>
      <c r="V13" s="445">
        <f t="shared" si="3"/>
        <v>16</v>
      </c>
      <c r="W13" s="450">
        <v>62</v>
      </c>
      <c r="X13" s="89">
        <f>57-W13</f>
        <v>-5</v>
      </c>
      <c r="Y13" s="89">
        <f>71-X13-W13</f>
        <v>14</v>
      </c>
      <c r="Z13" s="90">
        <f>66-Y13-X13-W13</f>
        <v>-5</v>
      </c>
      <c r="AA13" s="445">
        <f t="shared" si="4"/>
        <v>66</v>
      </c>
      <c r="AB13" s="450">
        <v>14</v>
      </c>
      <c r="AC13" s="451">
        <v>40</v>
      </c>
      <c r="AD13" s="451">
        <v>59</v>
      </c>
      <c r="AE13" s="90">
        <v>71</v>
      </c>
      <c r="AF13" s="207">
        <f t="shared" si="7"/>
        <v>184</v>
      </c>
      <c r="AG13" s="450">
        <v>29</v>
      </c>
      <c r="AH13" s="451">
        <f>-7-AG13</f>
        <v>-36</v>
      </c>
      <c r="AI13" s="451">
        <f>25-AH13-AG13</f>
        <v>32</v>
      </c>
      <c r="AJ13" s="90">
        <f>-62-AI13-AH13-AG13</f>
        <v>-87</v>
      </c>
      <c r="AK13" s="207">
        <f t="shared" si="8"/>
        <v>-62</v>
      </c>
      <c r="AL13" s="450">
        <v>115</v>
      </c>
      <c r="AM13" s="451">
        <f>54-AL13</f>
        <v>-61</v>
      </c>
      <c r="AN13" s="451">
        <f>31-AM13-AL13</f>
        <v>-23</v>
      </c>
      <c r="AO13" s="90">
        <f>119-AN13-AM13-AL13</f>
        <v>88</v>
      </c>
      <c r="AP13" s="207">
        <f t="shared" si="9"/>
        <v>119</v>
      </c>
      <c r="AQ13" s="450">
        <v>79</v>
      </c>
      <c r="AR13" s="451">
        <f>131-AQ13</f>
        <v>52</v>
      </c>
      <c r="AS13" s="451">
        <f>373-AR13-AQ13</f>
        <v>242</v>
      </c>
      <c r="AT13" s="90">
        <f>161-AS13-AR13-AQ13</f>
        <v>-212</v>
      </c>
      <c r="AU13" s="207">
        <f t="shared" si="10"/>
        <v>161</v>
      </c>
      <c r="AV13" s="450">
        <v>-20</v>
      </c>
      <c r="AW13" s="451">
        <f>-1-AV13</f>
        <v>19</v>
      </c>
      <c r="AX13" s="451">
        <f>129-SUM(AV13:AW13)</f>
        <v>130</v>
      </c>
      <c r="AY13" s="90">
        <f>76-SUM(AV13:AX13)</f>
        <v>-53</v>
      </c>
      <c r="AZ13" s="207">
        <f t="shared" si="5"/>
        <v>76</v>
      </c>
      <c r="BA13" s="450">
        <v>23</v>
      </c>
      <c r="BB13" s="451">
        <f>-298-BA13</f>
        <v>-321</v>
      </c>
      <c r="BC13" s="451">
        <f>64-BB13-BA13</f>
        <v>362</v>
      </c>
      <c r="BD13" s="90">
        <f>79-SUM(BA13:BC13)</f>
        <v>15</v>
      </c>
      <c r="BE13" s="207">
        <f t="shared" si="6"/>
        <v>79</v>
      </c>
      <c r="BF13" s="450">
        <v>285</v>
      </c>
      <c r="BG13" s="451">
        <f>573-BF13</f>
        <v>288</v>
      </c>
      <c r="BH13" s="451">
        <f>637-BF13-BG13</f>
        <v>64</v>
      </c>
      <c r="BI13" s="90">
        <f>954-BH13-BG13-BF13</f>
        <v>317</v>
      </c>
      <c r="BJ13" s="207">
        <f t="shared" ref="BJ13:BJ20" si="11">SUM(BF13:BI13)</f>
        <v>954</v>
      </c>
      <c r="BK13" s="450">
        <v>-27</v>
      </c>
      <c r="BL13" s="451">
        <f>BO13-BK13</f>
        <v>45</v>
      </c>
      <c r="BM13" s="451"/>
      <c r="BN13" s="90"/>
      <c r="BO13" s="207">
        <v>18</v>
      </c>
    </row>
    <row r="14" spans="2:67" ht="13">
      <c r="B14" s="392" t="s">
        <v>174</v>
      </c>
      <c r="C14" s="446">
        <v>56</v>
      </c>
      <c r="D14" s="446">
        <f>116-C14</f>
        <v>60</v>
      </c>
      <c r="E14" s="446">
        <f>179-C14-D14</f>
        <v>63</v>
      </c>
      <c r="F14" s="447">
        <f>252-C14-D14-E14</f>
        <v>73</v>
      </c>
      <c r="G14" s="442">
        <f t="shared" si="0"/>
        <v>252</v>
      </c>
      <c r="H14" s="444">
        <v>60</v>
      </c>
      <c r="I14" s="446">
        <f>124-H14</f>
        <v>64</v>
      </c>
      <c r="J14" s="446">
        <f>149-I14-H14</f>
        <v>25</v>
      </c>
      <c r="K14" s="447">
        <f>149-H14-I14-J14</f>
        <v>0</v>
      </c>
      <c r="L14" s="442">
        <f t="shared" si="1"/>
        <v>149</v>
      </c>
      <c r="M14" s="295">
        <v>0</v>
      </c>
      <c r="N14" s="89">
        <f>0-M14</f>
        <v>0</v>
      </c>
      <c r="O14" s="89">
        <f>0-M14-N14</f>
        <v>0</v>
      </c>
      <c r="P14" s="90">
        <v>0</v>
      </c>
      <c r="Q14" s="445">
        <f t="shared" si="2"/>
        <v>0</v>
      </c>
      <c r="R14" s="227">
        <v>0</v>
      </c>
      <c r="S14" s="89">
        <v>0</v>
      </c>
      <c r="T14" s="89">
        <v>0</v>
      </c>
      <c r="U14" s="90">
        <v>0</v>
      </c>
      <c r="V14" s="445">
        <f t="shared" si="3"/>
        <v>0</v>
      </c>
      <c r="W14" s="227">
        <v>0</v>
      </c>
      <c r="X14" s="89">
        <v>0</v>
      </c>
      <c r="Y14" s="89">
        <v>0</v>
      </c>
      <c r="Z14" s="90"/>
      <c r="AA14" s="445">
        <f t="shared" si="4"/>
        <v>0</v>
      </c>
      <c r="AB14" s="455">
        <v>0</v>
      </c>
      <c r="AC14" s="393">
        <v>0</v>
      </c>
      <c r="AD14" s="393">
        <v>0</v>
      </c>
      <c r="AE14" s="90">
        <v>0</v>
      </c>
      <c r="AF14" s="207">
        <f t="shared" si="7"/>
        <v>0</v>
      </c>
      <c r="AG14" s="455">
        <v>0</v>
      </c>
      <c r="AH14" s="393">
        <v>0</v>
      </c>
      <c r="AI14" s="393">
        <v>0</v>
      </c>
      <c r="AJ14" s="393">
        <v>0</v>
      </c>
      <c r="AK14" s="207">
        <f t="shared" si="8"/>
        <v>0</v>
      </c>
      <c r="AL14" s="455">
        <v>0</v>
      </c>
      <c r="AM14" s="393">
        <v>0</v>
      </c>
      <c r="AN14" s="393">
        <v>0</v>
      </c>
      <c r="AO14" s="393">
        <v>0</v>
      </c>
      <c r="AP14" s="207">
        <f t="shared" si="9"/>
        <v>0</v>
      </c>
      <c r="AQ14" s="455">
        <v>0</v>
      </c>
      <c r="AR14" s="393">
        <v>0</v>
      </c>
      <c r="AS14" s="393">
        <v>0</v>
      </c>
      <c r="AT14" s="393">
        <v>0</v>
      </c>
      <c r="AU14" s="207">
        <f t="shared" si="10"/>
        <v>0</v>
      </c>
      <c r="AV14" s="455">
        <v>0</v>
      </c>
      <c r="AW14" s="393">
        <v>0</v>
      </c>
      <c r="AX14" s="393">
        <v>0</v>
      </c>
      <c r="AY14" s="393">
        <v>0</v>
      </c>
      <c r="AZ14" s="207">
        <f t="shared" si="5"/>
        <v>0</v>
      </c>
      <c r="BA14" s="455">
        <v>0</v>
      </c>
      <c r="BB14" s="393">
        <v>0</v>
      </c>
      <c r="BC14" s="393">
        <v>0</v>
      </c>
      <c r="BD14" s="393">
        <v>0</v>
      </c>
      <c r="BE14" s="207">
        <f t="shared" si="6"/>
        <v>0</v>
      </c>
      <c r="BF14" s="455">
        <v>0</v>
      </c>
      <c r="BG14" s="393">
        <v>0</v>
      </c>
      <c r="BH14" s="393">
        <v>0</v>
      </c>
      <c r="BI14" s="393">
        <v>0</v>
      </c>
      <c r="BJ14" s="207">
        <f t="shared" si="11"/>
        <v>0</v>
      </c>
      <c r="BK14" s="393">
        <v>0</v>
      </c>
      <c r="BL14" s="393">
        <f t="shared" ref="BL14:BL18" si="12">BO14-BK14</f>
        <v>0</v>
      </c>
      <c r="BM14" s="393"/>
      <c r="BN14" s="393"/>
      <c r="BO14" s="207">
        <v>0</v>
      </c>
    </row>
    <row r="15" spans="2:67" ht="13">
      <c r="B15" s="392" t="s">
        <v>175</v>
      </c>
      <c r="C15" s="446"/>
      <c r="D15" s="446"/>
      <c r="E15" s="446"/>
      <c r="F15" s="447"/>
      <c r="G15" s="456">
        <v>0</v>
      </c>
      <c r="H15" s="444"/>
      <c r="I15" s="446"/>
      <c r="J15" s="446"/>
      <c r="K15" s="447"/>
      <c r="L15" s="442">
        <v>0</v>
      </c>
      <c r="M15" s="295"/>
      <c r="N15" s="89"/>
      <c r="O15" s="89"/>
      <c r="P15" s="90"/>
      <c r="Q15" s="445">
        <v>0</v>
      </c>
      <c r="R15" s="227">
        <v>0</v>
      </c>
      <c r="S15" s="89">
        <v>0</v>
      </c>
      <c r="T15" s="89">
        <v>0</v>
      </c>
      <c r="U15" s="90">
        <f>118-T15-S15-R15</f>
        <v>118</v>
      </c>
      <c r="V15" s="445">
        <f t="shared" si="3"/>
        <v>118</v>
      </c>
      <c r="W15" s="227">
        <v>0</v>
      </c>
      <c r="X15" s="89">
        <v>0</v>
      </c>
      <c r="Y15" s="89">
        <v>0</v>
      </c>
      <c r="Z15" s="90"/>
      <c r="AA15" s="445">
        <f t="shared" si="4"/>
        <v>0</v>
      </c>
      <c r="AB15" s="455">
        <v>0</v>
      </c>
      <c r="AC15" s="393">
        <v>0</v>
      </c>
      <c r="AD15" s="393">
        <v>0</v>
      </c>
      <c r="AE15" s="90">
        <v>0</v>
      </c>
      <c r="AF15" s="207">
        <f t="shared" si="7"/>
        <v>0</v>
      </c>
      <c r="AG15" s="455">
        <v>0</v>
      </c>
      <c r="AH15" s="393">
        <v>0</v>
      </c>
      <c r="AI15" s="393">
        <v>0</v>
      </c>
      <c r="AJ15" s="393">
        <v>0</v>
      </c>
      <c r="AK15" s="207">
        <f t="shared" si="8"/>
        <v>0</v>
      </c>
      <c r="AL15" s="455">
        <v>0</v>
      </c>
      <c r="AM15" s="393">
        <v>0</v>
      </c>
      <c r="AN15" s="393">
        <v>0</v>
      </c>
      <c r="AO15" s="393">
        <v>0</v>
      </c>
      <c r="AP15" s="207">
        <f t="shared" si="9"/>
        <v>0</v>
      </c>
      <c r="AQ15" s="455">
        <v>0</v>
      </c>
      <c r="AR15" s="393">
        <v>0</v>
      </c>
      <c r="AS15" s="393">
        <v>0</v>
      </c>
      <c r="AT15" s="393">
        <v>0</v>
      </c>
      <c r="AU15" s="207">
        <f t="shared" si="10"/>
        <v>0</v>
      </c>
      <c r="AV15" s="455">
        <v>0</v>
      </c>
      <c r="AW15" s="393">
        <v>0</v>
      </c>
      <c r="AX15" s="393">
        <v>0</v>
      </c>
      <c r="AY15" s="393">
        <v>0</v>
      </c>
      <c r="AZ15" s="207">
        <f t="shared" si="5"/>
        <v>0</v>
      </c>
      <c r="BA15" s="455">
        <v>0</v>
      </c>
      <c r="BB15" s="393">
        <v>0</v>
      </c>
      <c r="BC15" s="393">
        <v>0</v>
      </c>
      <c r="BD15" s="393">
        <v>0</v>
      </c>
      <c r="BE15" s="207">
        <f t="shared" si="6"/>
        <v>0</v>
      </c>
      <c r="BF15" s="455">
        <v>0</v>
      </c>
      <c r="BG15" s="393">
        <v>0</v>
      </c>
      <c r="BH15" s="393">
        <v>0</v>
      </c>
      <c r="BI15" s="393">
        <v>0</v>
      </c>
      <c r="BJ15" s="207">
        <f t="shared" si="11"/>
        <v>0</v>
      </c>
      <c r="BK15" s="393">
        <v>0</v>
      </c>
      <c r="BL15" s="393">
        <f t="shared" si="12"/>
        <v>0</v>
      </c>
      <c r="BM15" s="393"/>
      <c r="BN15" s="393"/>
      <c r="BO15" s="207">
        <v>0</v>
      </c>
    </row>
    <row r="16" spans="2:67" ht="13">
      <c r="B16" s="392" t="s">
        <v>176</v>
      </c>
      <c r="C16" s="446"/>
      <c r="D16" s="446"/>
      <c r="E16" s="446"/>
      <c r="F16" s="447"/>
      <c r="G16" s="456">
        <v>0</v>
      </c>
      <c r="H16" s="444"/>
      <c r="I16" s="446"/>
      <c r="J16" s="446"/>
      <c r="K16" s="447"/>
      <c r="L16" s="442">
        <v>0</v>
      </c>
      <c r="M16" s="295"/>
      <c r="N16" s="89"/>
      <c r="O16" s="89"/>
      <c r="P16" s="90"/>
      <c r="Q16" s="445">
        <v>0</v>
      </c>
      <c r="R16" s="227">
        <v>0</v>
      </c>
      <c r="S16" s="89">
        <v>0</v>
      </c>
      <c r="T16" s="89">
        <v>0</v>
      </c>
      <c r="U16" s="90">
        <f>71-T16-S16-R16</f>
        <v>71</v>
      </c>
      <c r="V16" s="445">
        <f t="shared" si="3"/>
        <v>71</v>
      </c>
      <c r="W16" s="227">
        <v>0</v>
      </c>
      <c r="X16" s="89">
        <v>0</v>
      </c>
      <c r="Y16" s="89">
        <v>0</v>
      </c>
      <c r="Z16" s="90"/>
      <c r="AA16" s="445">
        <f t="shared" si="4"/>
        <v>0</v>
      </c>
      <c r="AB16" s="455">
        <v>0</v>
      </c>
      <c r="AC16" s="393">
        <v>0</v>
      </c>
      <c r="AD16" s="393">
        <v>0</v>
      </c>
      <c r="AE16" s="90">
        <v>0</v>
      </c>
      <c r="AF16" s="207">
        <f t="shared" si="7"/>
        <v>0</v>
      </c>
      <c r="AG16" s="455">
        <v>0</v>
      </c>
      <c r="AH16" s="393">
        <v>0</v>
      </c>
      <c r="AI16" s="393">
        <v>0</v>
      </c>
      <c r="AJ16" s="393">
        <v>0</v>
      </c>
      <c r="AK16" s="207">
        <f t="shared" si="8"/>
        <v>0</v>
      </c>
      <c r="AL16" s="455">
        <v>0</v>
      </c>
      <c r="AM16" s="393">
        <v>0</v>
      </c>
      <c r="AN16" s="393">
        <v>0</v>
      </c>
      <c r="AO16" s="393">
        <v>0</v>
      </c>
      <c r="AP16" s="207">
        <f t="shared" si="9"/>
        <v>0</v>
      </c>
      <c r="AQ16" s="455">
        <v>0</v>
      </c>
      <c r="AR16" s="393">
        <v>0</v>
      </c>
      <c r="AS16" s="393">
        <v>0</v>
      </c>
      <c r="AT16" s="393">
        <v>0</v>
      </c>
      <c r="AU16" s="207">
        <f t="shared" si="10"/>
        <v>0</v>
      </c>
      <c r="AV16" s="455">
        <v>0</v>
      </c>
      <c r="AW16" s="393">
        <v>0</v>
      </c>
      <c r="AX16" s="393">
        <v>0</v>
      </c>
      <c r="AY16" s="393">
        <v>0</v>
      </c>
      <c r="AZ16" s="207">
        <f t="shared" si="5"/>
        <v>0</v>
      </c>
      <c r="BA16" s="455">
        <v>0</v>
      </c>
      <c r="BB16" s="393">
        <v>0</v>
      </c>
      <c r="BC16" s="393">
        <v>0</v>
      </c>
      <c r="BD16" s="393">
        <v>0</v>
      </c>
      <c r="BE16" s="207">
        <f t="shared" si="6"/>
        <v>0</v>
      </c>
      <c r="BF16" s="455">
        <v>0</v>
      </c>
      <c r="BG16" s="393">
        <v>0</v>
      </c>
      <c r="BH16" s="393">
        <v>0</v>
      </c>
      <c r="BI16" s="393">
        <v>0</v>
      </c>
      <c r="BJ16" s="207">
        <f t="shared" si="11"/>
        <v>0</v>
      </c>
      <c r="BK16" s="393">
        <v>0</v>
      </c>
      <c r="BL16" s="393">
        <f t="shared" si="12"/>
        <v>0</v>
      </c>
      <c r="BM16" s="393"/>
      <c r="BN16" s="393"/>
      <c r="BO16" s="207">
        <v>0</v>
      </c>
    </row>
    <row r="17" spans="2:67" ht="13">
      <c r="B17" s="392" t="s">
        <v>489</v>
      </c>
      <c r="C17" s="446">
        <v>114</v>
      </c>
      <c r="D17" s="446">
        <f>169-C17</f>
        <v>55</v>
      </c>
      <c r="E17" s="446">
        <f>127-C17-D17</f>
        <v>-42</v>
      </c>
      <c r="F17" s="447">
        <f>171-C17-D17-E17</f>
        <v>44</v>
      </c>
      <c r="G17" s="442">
        <f t="shared" si="0"/>
        <v>171</v>
      </c>
      <c r="H17" s="444">
        <v>-4</v>
      </c>
      <c r="I17" s="446">
        <f>7-H17</f>
        <v>11</v>
      </c>
      <c r="J17" s="446">
        <f>-25-I17-H17</f>
        <v>-32</v>
      </c>
      <c r="K17" s="447">
        <f>-52-H17-I17-J17</f>
        <v>-27</v>
      </c>
      <c r="L17" s="442">
        <f t="shared" si="1"/>
        <v>-52</v>
      </c>
      <c r="M17" s="449">
        <v>15</v>
      </c>
      <c r="N17" s="89">
        <f>40-M17</f>
        <v>25</v>
      </c>
      <c r="O17" s="89">
        <f>76-M17-N17</f>
        <v>36</v>
      </c>
      <c r="P17" s="90">
        <v>56</v>
      </c>
      <c r="Q17" s="445">
        <f t="shared" si="2"/>
        <v>132</v>
      </c>
      <c r="R17" s="450">
        <v>-4</v>
      </c>
      <c r="S17" s="89">
        <v>40</v>
      </c>
      <c r="T17" s="89">
        <f>62-R17-S17</f>
        <v>26</v>
      </c>
      <c r="U17" s="90">
        <f>34-T17-S17-R17</f>
        <v>-28</v>
      </c>
      <c r="V17" s="445">
        <f t="shared" si="3"/>
        <v>34</v>
      </c>
      <c r="W17" s="450">
        <v>69</v>
      </c>
      <c r="X17" s="89">
        <f>143-W17</f>
        <v>74</v>
      </c>
      <c r="Y17" s="89">
        <f>224-X17-W17+1</f>
        <v>82</v>
      </c>
      <c r="Z17" s="90">
        <f>239-Y17-X17-W17+1</f>
        <v>15</v>
      </c>
      <c r="AA17" s="445">
        <f>SUM(W17:Z17)-1</f>
        <v>239</v>
      </c>
      <c r="AB17" s="450">
        <v>49</v>
      </c>
      <c r="AC17" s="451">
        <v>33</v>
      </c>
      <c r="AD17" s="451">
        <v>7</v>
      </c>
      <c r="AE17" s="90">
        <v>72</v>
      </c>
      <c r="AF17" s="207">
        <f>SUM(AB17:AE17)</f>
        <v>161</v>
      </c>
      <c r="AG17" s="450">
        <v>99</v>
      </c>
      <c r="AH17" s="451">
        <f>159-AG17</f>
        <v>60</v>
      </c>
      <c r="AI17" s="451">
        <f>179-AH17-AG17</f>
        <v>20</v>
      </c>
      <c r="AJ17" s="90">
        <f>190-AI17-AH17-AG17</f>
        <v>11</v>
      </c>
      <c r="AK17" s="207">
        <f>SUM(AG17:AJ17)</f>
        <v>190</v>
      </c>
      <c r="AL17" s="450">
        <v>44</v>
      </c>
      <c r="AM17" s="451">
        <f>87-AL17</f>
        <v>43</v>
      </c>
      <c r="AN17" s="451">
        <f>141-AM17-AL17</f>
        <v>54</v>
      </c>
      <c r="AO17" s="90">
        <f>170-AN17-AM17-AL17</f>
        <v>29</v>
      </c>
      <c r="AP17" s="207">
        <f>SUM(AL17:AO17)</f>
        <v>170</v>
      </c>
      <c r="AQ17" s="450">
        <v>44</v>
      </c>
      <c r="AR17" s="451">
        <f>91-AQ17</f>
        <v>47</v>
      </c>
      <c r="AS17" s="451">
        <f>197-AR17-AQ17</f>
        <v>106</v>
      </c>
      <c r="AT17" s="90">
        <f>283-AS17-AR17-AQ17</f>
        <v>86</v>
      </c>
      <c r="AU17" s="207">
        <f>SUM(AQ17:AT17)</f>
        <v>283</v>
      </c>
      <c r="AV17" s="450">
        <v>91</v>
      </c>
      <c r="AW17" s="451">
        <f>206-AV17</f>
        <v>115</v>
      </c>
      <c r="AX17" s="451">
        <f>219-AW17-AV17</f>
        <v>13</v>
      </c>
      <c r="AY17" s="90">
        <f>121-SUM(AV17:AX17)</f>
        <v>-98</v>
      </c>
      <c r="AZ17" s="207">
        <f t="shared" si="5"/>
        <v>121</v>
      </c>
      <c r="BA17" s="450">
        <v>-3</v>
      </c>
      <c r="BB17" s="451">
        <f>95-BA17</f>
        <v>98</v>
      </c>
      <c r="BC17" s="451">
        <f>100-BB17-BA17</f>
        <v>5</v>
      </c>
      <c r="BD17" s="90">
        <f>48-SUM(BA17:BC17)</f>
        <v>-52</v>
      </c>
      <c r="BE17" s="207">
        <f t="shared" si="6"/>
        <v>48</v>
      </c>
      <c r="BF17" s="450">
        <v>34</v>
      </c>
      <c r="BG17" s="451">
        <f>34-BF17</f>
        <v>0</v>
      </c>
      <c r="BH17" s="451">
        <f>88-BF17-BG17</f>
        <v>54</v>
      </c>
      <c r="BI17" s="90">
        <f>33-BH17-BG17-BF17</f>
        <v>-55</v>
      </c>
      <c r="BJ17" s="207">
        <f t="shared" si="11"/>
        <v>33</v>
      </c>
      <c r="BK17" s="450">
        <v>-2</v>
      </c>
      <c r="BL17" s="451">
        <f>BO17-BK17</f>
        <v>63</v>
      </c>
      <c r="BM17" s="451"/>
      <c r="BN17" s="90"/>
      <c r="BO17" s="207">
        <v>61</v>
      </c>
    </row>
    <row r="18" spans="2:67" ht="24">
      <c r="B18" s="392" t="s">
        <v>177</v>
      </c>
      <c r="C18" s="446"/>
      <c r="D18" s="446"/>
      <c r="E18" s="446"/>
      <c r="F18" s="447"/>
      <c r="G18" s="456">
        <v>0</v>
      </c>
      <c r="H18" s="444"/>
      <c r="I18" s="446"/>
      <c r="J18" s="446"/>
      <c r="K18" s="447"/>
      <c r="L18" s="442">
        <v>0</v>
      </c>
      <c r="M18" s="449"/>
      <c r="N18" s="89"/>
      <c r="O18" s="89"/>
      <c r="P18" s="90"/>
      <c r="Q18" s="445">
        <v>0</v>
      </c>
      <c r="R18" s="450">
        <v>0</v>
      </c>
      <c r="S18" s="89">
        <v>0</v>
      </c>
      <c r="T18" s="89">
        <v>0</v>
      </c>
      <c r="U18" s="90">
        <v>0</v>
      </c>
      <c r="V18" s="445">
        <v>0</v>
      </c>
      <c r="W18" s="455">
        <v>270</v>
      </c>
      <c r="X18" s="89">
        <f>270-W18</f>
        <v>0</v>
      </c>
      <c r="Y18" s="89">
        <f>721-X18-W18</f>
        <v>451</v>
      </c>
      <c r="Z18" s="90">
        <f>721-Y18-X18-W18</f>
        <v>0</v>
      </c>
      <c r="AA18" s="457">
        <f t="shared" si="4"/>
        <v>721</v>
      </c>
      <c r="AB18" s="455">
        <v>0</v>
      </c>
      <c r="AC18" s="393">
        <v>0</v>
      </c>
      <c r="AD18" s="393">
        <v>0</v>
      </c>
      <c r="AE18" s="90">
        <v>0</v>
      </c>
      <c r="AF18" s="365">
        <f>SUM(AB18:AE18)</f>
        <v>0</v>
      </c>
      <c r="AG18" s="455">
        <v>0</v>
      </c>
      <c r="AH18" s="393">
        <v>0</v>
      </c>
      <c r="AI18" s="393">
        <v>0</v>
      </c>
      <c r="AJ18" s="90">
        <v>0</v>
      </c>
      <c r="AK18" s="365">
        <f>SUM(AG18:AJ18)</f>
        <v>0</v>
      </c>
      <c r="AL18" s="455">
        <v>0</v>
      </c>
      <c r="AM18" s="393">
        <v>0</v>
      </c>
      <c r="AN18" s="393">
        <v>0</v>
      </c>
      <c r="AO18" s="90">
        <v>0</v>
      </c>
      <c r="AP18" s="365">
        <f>SUM(AL18:AO18)</f>
        <v>0</v>
      </c>
      <c r="AQ18" s="455">
        <v>0</v>
      </c>
      <c r="AR18" s="393">
        <v>0</v>
      </c>
      <c r="AS18" s="393">
        <v>0</v>
      </c>
      <c r="AT18" s="393">
        <v>0</v>
      </c>
      <c r="AU18" s="365">
        <f>SUM(AQ18:AT18)</f>
        <v>0</v>
      </c>
      <c r="AV18" s="455">
        <v>0</v>
      </c>
      <c r="AW18" s="393">
        <v>0</v>
      </c>
      <c r="AX18" s="393">
        <v>0</v>
      </c>
      <c r="AY18" s="393">
        <v>0</v>
      </c>
      <c r="AZ18" s="365">
        <f t="shared" si="5"/>
        <v>0</v>
      </c>
      <c r="BA18" s="455">
        <v>0</v>
      </c>
      <c r="BB18" s="393">
        <v>0</v>
      </c>
      <c r="BC18" s="393">
        <v>0</v>
      </c>
      <c r="BD18" s="393">
        <v>0</v>
      </c>
      <c r="BE18" s="365">
        <f t="shared" si="6"/>
        <v>0</v>
      </c>
      <c r="BF18" s="455">
        <v>0</v>
      </c>
      <c r="BG18" s="393">
        <v>0</v>
      </c>
      <c r="BH18" s="393">
        <v>0</v>
      </c>
      <c r="BI18" s="393">
        <v>0</v>
      </c>
      <c r="BJ18" s="365">
        <f t="shared" si="11"/>
        <v>0</v>
      </c>
      <c r="BK18" s="393">
        <v>0</v>
      </c>
      <c r="BL18" s="393">
        <f t="shared" si="12"/>
        <v>0</v>
      </c>
      <c r="BM18" s="393"/>
      <c r="BN18" s="393"/>
      <c r="BO18" s="365">
        <v>0</v>
      </c>
    </row>
    <row r="19" spans="2:67" ht="13">
      <c r="B19" s="392" t="s">
        <v>178</v>
      </c>
      <c r="C19" s="446"/>
      <c r="D19" s="446"/>
      <c r="E19" s="446"/>
      <c r="F19" s="447"/>
      <c r="G19" s="456">
        <v>0</v>
      </c>
      <c r="H19" s="444"/>
      <c r="I19" s="446"/>
      <c r="J19" s="446"/>
      <c r="K19" s="447"/>
      <c r="L19" s="442">
        <v>0</v>
      </c>
      <c r="M19" s="449"/>
      <c r="N19" s="89"/>
      <c r="O19" s="89"/>
      <c r="P19" s="90"/>
      <c r="Q19" s="445">
        <v>0</v>
      </c>
      <c r="R19" s="450">
        <v>0</v>
      </c>
      <c r="S19" s="89">
        <v>0</v>
      </c>
      <c r="T19" s="89">
        <v>0</v>
      </c>
      <c r="U19" s="90">
        <f>84-T19-S19-R19</f>
        <v>84</v>
      </c>
      <c r="V19" s="445">
        <f t="shared" si="3"/>
        <v>84</v>
      </c>
      <c r="W19" s="450">
        <v>44</v>
      </c>
      <c r="X19" s="89">
        <f>97-W19</f>
        <v>53</v>
      </c>
      <c r="Y19" s="89">
        <f>143-X19-W19</f>
        <v>46</v>
      </c>
      <c r="Z19" s="90">
        <f>202-Y19-X19-W19</f>
        <v>59</v>
      </c>
      <c r="AA19" s="445">
        <f t="shared" si="4"/>
        <v>202</v>
      </c>
      <c r="AB19" s="450">
        <v>64</v>
      </c>
      <c r="AC19" s="451">
        <v>55</v>
      </c>
      <c r="AD19" s="451">
        <v>64</v>
      </c>
      <c r="AE19" s="90">
        <v>66</v>
      </c>
      <c r="AF19" s="207">
        <f>SUM(AB19:AE19)</f>
        <v>249</v>
      </c>
      <c r="AG19" s="450">
        <v>76</v>
      </c>
      <c r="AH19" s="451">
        <f>174-AG19</f>
        <v>98</v>
      </c>
      <c r="AI19" s="451">
        <f>258-AH19-AG19</f>
        <v>84</v>
      </c>
      <c r="AJ19" s="90">
        <f>333-AI19-AH19-AG19</f>
        <v>75</v>
      </c>
      <c r="AK19" s="207">
        <f>SUM(AG19:AJ19)</f>
        <v>333</v>
      </c>
      <c r="AL19" s="450">
        <v>110</v>
      </c>
      <c r="AM19" s="451">
        <f>209-AL19</f>
        <v>99</v>
      </c>
      <c r="AN19" s="451">
        <f>302-AM19-AL19</f>
        <v>93</v>
      </c>
      <c r="AO19" s="90">
        <f>415-AN19-AM19-AL19</f>
        <v>113</v>
      </c>
      <c r="AP19" s="207">
        <f>SUM(AL19:AO19)</f>
        <v>415</v>
      </c>
      <c r="AQ19" s="450">
        <v>132</v>
      </c>
      <c r="AR19" s="451">
        <f>269-AQ19</f>
        <v>137</v>
      </c>
      <c r="AS19" s="451">
        <f>386-AR19-AQ19</f>
        <v>117</v>
      </c>
      <c r="AT19" s="90">
        <f>519-AS19-AR19-AQ19</f>
        <v>133</v>
      </c>
      <c r="AU19" s="207">
        <f>SUM(AQ19:AT19)</f>
        <v>519</v>
      </c>
      <c r="AV19" s="450">
        <v>146</v>
      </c>
      <c r="AW19" s="451">
        <f>279-AV19</f>
        <v>133</v>
      </c>
      <c r="AX19" s="451">
        <f>426-SUM(AV19:AW19)</f>
        <v>147</v>
      </c>
      <c r="AY19" s="90">
        <f>652-SUM(AV19:AX19)</f>
        <v>226</v>
      </c>
      <c r="AZ19" s="207">
        <f>SUM(AV19:AY19)</f>
        <v>652</v>
      </c>
      <c r="BA19" s="450">
        <v>211</v>
      </c>
      <c r="BB19" s="451">
        <f>420-BA19-1</f>
        <v>208</v>
      </c>
      <c r="BC19" s="451">
        <f>605-BB19-BA19</f>
        <v>186</v>
      </c>
      <c r="BD19" s="90">
        <f>802-SUM(BA19:BC19)</f>
        <v>197</v>
      </c>
      <c r="BE19" s="207">
        <f>SUM(BA19:BD19)</f>
        <v>802</v>
      </c>
      <c r="BF19" s="450">
        <v>236</v>
      </c>
      <c r="BG19" s="451">
        <f>471-BF19</f>
        <v>235</v>
      </c>
      <c r="BH19" s="451">
        <f>702-BF19-BG19</f>
        <v>231</v>
      </c>
      <c r="BI19" s="90">
        <f>952-BH19-BG19-BF19</f>
        <v>250</v>
      </c>
      <c r="BJ19" s="207">
        <f>SUM(BF19:BI19)</f>
        <v>952</v>
      </c>
      <c r="BK19" s="450">
        <v>233</v>
      </c>
      <c r="BL19" s="451">
        <f>BO19-BK19</f>
        <v>227</v>
      </c>
      <c r="BM19" s="451"/>
      <c r="BN19" s="90"/>
      <c r="BO19" s="207">
        <v>460</v>
      </c>
    </row>
    <row r="20" spans="2:67" ht="13">
      <c r="B20" s="392" t="s">
        <v>179</v>
      </c>
      <c r="C20" s="446"/>
      <c r="D20" s="446"/>
      <c r="E20" s="446"/>
      <c r="F20" s="447"/>
      <c r="G20" s="442"/>
      <c r="H20" s="444"/>
      <c r="I20" s="446"/>
      <c r="J20" s="446"/>
      <c r="K20" s="447"/>
      <c r="L20" s="442"/>
      <c r="M20" s="449"/>
      <c r="N20" s="89"/>
      <c r="O20" s="89"/>
      <c r="P20" s="90"/>
      <c r="Q20" s="445"/>
      <c r="R20" s="450"/>
      <c r="S20" s="89"/>
      <c r="T20" s="89"/>
      <c r="U20" s="90"/>
      <c r="V20" s="445"/>
      <c r="W20" s="450"/>
      <c r="X20" s="89"/>
      <c r="Y20" s="89"/>
      <c r="Z20" s="90"/>
      <c r="AA20" s="445"/>
      <c r="AB20" s="450"/>
      <c r="AC20" s="451"/>
      <c r="AD20" s="451"/>
      <c r="AE20" s="90"/>
      <c r="AF20" s="207"/>
      <c r="AG20" s="450"/>
      <c r="AH20" s="451"/>
      <c r="AI20" s="451"/>
      <c r="AJ20" s="90"/>
      <c r="AK20" s="207"/>
      <c r="AL20" s="450"/>
      <c r="AM20" s="451"/>
      <c r="AN20" s="451"/>
      <c r="AO20" s="90"/>
      <c r="AP20" s="207"/>
      <c r="AQ20" s="450"/>
      <c r="AR20" s="451"/>
      <c r="AS20" s="451"/>
      <c r="AT20" s="90"/>
      <c r="AU20" s="207"/>
      <c r="AV20" s="450">
        <v>0</v>
      </c>
      <c r="AW20" s="451">
        <v>0</v>
      </c>
      <c r="AX20" s="451">
        <v>0</v>
      </c>
      <c r="AY20" s="90">
        <f>-1934-AX20-AW20-AV20</f>
        <v>-1934</v>
      </c>
      <c r="AZ20" s="207">
        <f t="shared" si="5"/>
        <v>-1934</v>
      </c>
      <c r="BA20" s="450">
        <v>0</v>
      </c>
      <c r="BB20" s="451">
        <v>0</v>
      </c>
      <c r="BC20" s="451">
        <v>0</v>
      </c>
      <c r="BD20" s="90">
        <f>-327-SUM(BA20:BC20)</f>
        <v>-327</v>
      </c>
      <c r="BE20" s="207">
        <f t="shared" si="6"/>
        <v>-327</v>
      </c>
      <c r="BF20" s="450">
        <v>0</v>
      </c>
      <c r="BG20" s="451">
        <v>0</v>
      </c>
      <c r="BH20" s="451">
        <v>0</v>
      </c>
      <c r="BI20" s="90">
        <f>-63-BH20-BG20-BF20</f>
        <v>-63</v>
      </c>
      <c r="BJ20" s="207">
        <f t="shared" si="11"/>
        <v>-63</v>
      </c>
      <c r="BK20" s="450">
        <v>0</v>
      </c>
      <c r="BL20" s="451">
        <f>BO20-BK20</f>
        <v>0</v>
      </c>
      <c r="BM20" s="451"/>
      <c r="BN20" s="90"/>
      <c r="BO20" s="207">
        <v>0</v>
      </c>
    </row>
    <row r="21" spans="2:67" ht="13">
      <c r="B21" s="177" t="s">
        <v>180</v>
      </c>
      <c r="C21" s="240">
        <v>-5</v>
      </c>
      <c r="D21" s="240">
        <f>29-C21</f>
        <v>34</v>
      </c>
      <c r="E21" s="240">
        <f>58-C21-D21</f>
        <v>29</v>
      </c>
      <c r="F21" s="168">
        <f>79-C21-D21-E21</f>
        <v>21</v>
      </c>
      <c r="G21" s="182">
        <f t="shared" si="0"/>
        <v>79</v>
      </c>
      <c r="H21" s="245">
        <v>-10</v>
      </c>
      <c r="I21" s="240">
        <f>79-H21</f>
        <v>89</v>
      </c>
      <c r="J21" s="240">
        <f>151-I21-H21</f>
        <v>72</v>
      </c>
      <c r="K21" s="168">
        <f>169-H21-I21-J21</f>
        <v>18</v>
      </c>
      <c r="L21" s="182">
        <f t="shared" si="1"/>
        <v>169</v>
      </c>
      <c r="M21" s="295">
        <v>69</v>
      </c>
      <c r="N21" s="89">
        <f>205-M21</f>
        <v>136</v>
      </c>
      <c r="O21" s="89">
        <f>156-M21-N21</f>
        <v>-49</v>
      </c>
      <c r="P21" s="90">
        <v>28</v>
      </c>
      <c r="Q21" s="207">
        <f t="shared" si="2"/>
        <v>184</v>
      </c>
      <c r="R21" s="450">
        <v>65</v>
      </c>
      <c r="S21" s="89">
        <v>-65</v>
      </c>
      <c r="T21" s="89">
        <f>17-R21-S21</f>
        <v>17</v>
      </c>
      <c r="U21" s="90">
        <f>-133-T21-S21-R21</f>
        <v>-150</v>
      </c>
      <c r="V21" s="207">
        <f>SUM(R21:U21)</f>
        <v>-133</v>
      </c>
      <c r="W21" s="450">
        <v>-56</v>
      </c>
      <c r="X21" s="89">
        <f>-67-W21</f>
        <v>-11</v>
      </c>
      <c r="Y21" s="19">
        <f>-166-X21-W21-3</f>
        <v>-102</v>
      </c>
      <c r="Z21" s="90">
        <f>-102-Y21-X21-W21-3+1</f>
        <v>65</v>
      </c>
      <c r="AA21" s="207">
        <f>SUM(W21:Z21)+3-1</f>
        <v>-102</v>
      </c>
      <c r="AB21" s="450">
        <v>-70</v>
      </c>
      <c r="AC21" s="451">
        <v>-32</v>
      </c>
      <c r="AD21" s="451">
        <v>-68</v>
      </c>
      <c r="AE21" s="90">
        <v>39</v>
      </c>
      <c r="AF21" s="207">
        <f>SUM(AB21:AE21)</f>
        <v>-131</v>
      </c>
      <c r="AG21" s="450">
        <v>14</v>
      </c>
      <c r="AH21" s="451">
        <f>-60-AG21</f>
        <v>-74</v>
      </c>
      <c r="AI21" s="451">
        <f>-66-AH21-AG21</f>
        <v>-6</v>
      </c>
      <c r="AJ21" s="90">
        <f>-93-AI21-AH21-AG21+2</f>
        <v>-25</v>
      </c>
      <c r="AK21" s="207">
        <f>SUM(AG21:AJ21)</f>
        <v>-91</v>
      </c>
      <c r="AL21" s="450">
        <v>-90</v>
      </c>
      <c r="AM21" s="451">
        <f>36-AL21</f>
        <v>126</v>
      </c>
      <c r="AN21" s="451">
        <f>143-AM21-AL21</f>
        <v>107</v>
      </c>
      <c r="AO21" s="90">
        <f>76-AN21-AM21-AL21</f>
        <v>-67</v>
      </c>
      <c r="AP21" s="207">
        <f>SUM(AL21:AO21)</f>
        <v>76</v>
      </c>
      <c r="AQ21" s="450">
        <v>126</v>
      </c>
      <c r="AR21" s="451">
        <f>281-AQ21</f>
        <v>155</v>
      </c>
      <c r="AS21" s="451">
        <f>689-AR21-AQ21</f>
        <v>408</v>
      </c>
      <c r="AT21" s="90">
        <f>643-AS21-AR21-AQ21</f>
        <v>-46</v>
      </c>
      <c r="AU21" s="207">
        <f>SUM(AQ21:AT21)</f>
        <v>643</v>
      </c>
      <c r="AV21" s="450">
        <v>558</v>
      </c>
      <c r="AW21" s="451">
        <f>906-AV21</f>
        <v>348</v>
      </c>
      <c r="AX21" s="451">
        <f>1298-AW21-AV21</f>
        <v>392</v>
      </c>
      <c r="AY21" s="90">
        <f>1546-SUM(AV21:AX21)</f>
        <v>248</v>
      </c>
      <c r="AZ21" s="207">
        <f t="shared" si="5"/>
        <v>1546</v>
      </c>
      <c r="BA21" s="450">
        <v>-53</v>
      </c>
      <c r="BB21" s="451">
        <f>902-BA21</f>
        <v>955</v>
      </c>
      <c r="BC21" s="451">
        <f>674-BB21-BA21</f>
        <v>-228</v>
      </c>
      <c r="BD21" s="29">
        <f>723-SUM(BA21:BC21)</f>
        <v>49</v>
      </c>
      <c r="BE21" s="207">
        <f t="shared" si="6"/>
        <v>723</v>
      </c>
      <c r="BF21" s="450">
        <v>155</v>
      </c>
      <c r="BG21" s="451">
        <f>561-BF21-1</f>
        <v>405</v>
      </c>
      <c r="BH21" s="451">
        <f>1012-BF21-BG21-1</f>
        <v>451</v>
      </c>
      <c r="BI21" s="29">
        <f>881-167-BH21-BG21-BF21</f>
        <v>-297</v>
      </c>
      <c r="BJ21" s="207">
        <f>SUM(BF21:BI21)</f>
        <v>714</v>
      </c>
      <c r="BK21" s="450">
        <v>304</v>
      </c>
      <c r="BL21" s="451">
        <f>BO21-BK21</f>
        <v>569</v>
      </c>
      <c r="BM21" s="451"/>
      <c r="BN21" s="29"/>
      <c r="BO21" s="207">
        <v>873</v>
      </c>
    </row>
    <row r="22" spans="2:67" ht="13">
      <c r="B22" s="174" t="s">
        <v>181</v>
      </c>
      <c r="C22" s="238"/>
      <c r="D22" s="238"/>
      <c r="E22" s="238"/>
      <c r="F22" s="173"/>
      <c r="G22" s="442"/>
      <c r="H22" s="444"/>
      <c r="I22" s="244"/>
      <c r="J22" s="244"/>
      <c r="K22" s="165"/>
      <c r="L22" s="442"/>
      <c r="M22" s="240"/>
      <c r="N22" s="89"/>
      <c r="O22" s="89"/>
      <c r="P22" s="90"/>
      <c r="Q22" s="445"/>
      <c r="R22" s="227"/>
      <c r="S22" s="89"/>
      <c r="T22" s="89"/>
      <c r="U22" s="90"/>
      <c r="V22" s="445"/>
      <c r="W22" s="227"/>
      <c r="X22" s="89"/>
      <c r="Y22" s="89"/>
      <c r="Z22" s="90"/>
      <c r="AA22" s="445"/>
      <c r="AB22" s="227"/>
      <c r="AC22" s="19"/>
      <c r="AD22" s="19"/>
      <c r="AE22" s="90"/>
      <c r="AF22" s="207"/>
      <c r="AG22" s="227"/>
      <c r="AH22" s="19"/>
      <c r="AI22" s="19"/>
      <c r="AJ22" s="90"/>
      <c r="AK22" s="207"/>
      <c r="AL22" s="227"/>
      <c r="AM22" s="19"/>
      <c r="AN22" s="19"/>
      <c r="AO22" s="90"/>
      <c r="AP22" s="207"/>
      <c r="AQ22" s="227"/>
      <c r="AR22" s="19"/>
      <c r="AS22" s="19"/>
      <c r="AT22" s="90"/>
      <c r="AU22" s="207"/>
      <c r="AV22" s="227"/>
      <c r="AW22" s="19"/>
      <c r="AX22" s="19"/>
      <c r="AY22" s="90"/>
      <c r="AZ22" s="207"/>
      <c r="BA22" s="227"/>
      <c r="BB22" s="19"/>
      <c r="BC22" s="19"/>
      <c r="BD22" s="90"/>
      <c r="BE22" s="207"/>
      <c r="BF22" s="227"/>
      <c r="BG22" s="19"/>
      <c r="BH22" s="19"/>
      <c r="BI22" s="90"/>
      <c r="BJ22" s="207"/>
      <c r="BK22" s="227"/>
      <c r="BL22" s="19"/>
      <c r="BM22" s="19"/>
      <c r="BN22" s="90"/>
      <c r="BO22" s="207"/>
    </row>
    <row r="23" spans="2:67" ht="13">
      <c r="B23" s="392" t="s">
        <v>182</v>
      </c>
      <c r="C23" s="446">
        <f>-935-154</f>
        <v>-1089</v>
      </c>
      <c r="D23" s="446">
        <f>-995-C23</f>
        <v>94</v>
      </c>
      <c r="E23" s="446">
        <f>-955-C23-D23</f>
        <v>40</v>
      </c>
      <c r="F23" s="447">
        <f>-1509-C23-D23-E23</f>
        <v>-554</v>
      </c>
      <c r="G23" s="442">
        <f t="shared" si="0"/>
        <v>-1509</v>
      </c>
      <c r="H23" s="444">
        <v>-883</v>
      </c>
      <c r="I23" s="444">
        <f>-1231-H23</f>
        <v>-348</v>
      </c>
      <c r="J23" s="444">
        <f>-1156-H23-I23</f>
        <v>75</v>
      </c>
      <c r="K23" s="448">
        <f>-1654-H23-I23-J23</f>
        <v>-498</v>
      </c>
      <c r="L23" s="442">
        <f t="shared" si="1"/>
        <v>-1654</v>
      </c>
      <c r="M23" s="19">
        <v>-818</v>
      </c>
      <c r="N23" s="89">
        <f>-1145-M23</f>
        <v>-327</v>
      </c>
      <c r="O23" s="89">
        <f>-2071-M23-N23</f>
        <v>-926</v>
      </c>
      <c r="P23" s="90">
        <v>328</v>
      </c>
      <c r="Q23" s="445">
        <f t="shared" si="2"/>
        <v>-1743</v>
      </c>
      <c r="R23" s="227">
        <v>-459</v>
      </c>
      <c r="S23" s="89">
        <v>-1160</v>
      </c>
      <c r="T23" s="89">
        <f>-891-R23-S23</f>
        <v>728</v>
      </c>
      <c r="U23" s="90">
        <f>-1523-T23-S23-R23</f>
        <v>-632</v>
      </c>
      <c r="V23" s="445">
        <f t="shared" si="3"/>
        <v>-1523</v>
      </c>
      <c r="W23" s="227">
        <v>-984</v>
      </c>
      <c r="X23" s="89">
        <f>-2679-W23</f>
        <v>-1695</v>
      </c>
      <c r="Y23" s="89">
        <f>-2325-X23-W23</f>
        <v>354</v>
      </c>
      <c r="Z23" s="90">
        <f>-2881-Y23-X23-W23</f>
        <v>-556</v>
      </c>
      <c r="AA23" s="445">
        <f t="shared" si="4"/>
        <v>-2881</v>
      </c>
      <c r="AB23" s="227">
        <v>-679</v>
      </c>
      <c r="AC23" s="19">
        <v>-899</v>
      </c>
      <c r="AD23" s="19">
        <f>-2021+751</f>
        <v>-1270</v>
      </c>
      <c r="AE23" s="90">
        <v>-1014</v>
      </c>
      <c r="AF23" s="207">
        <f t="shared" ref="AF23:AF28" si="13">SUM(AB23:AE23)</f>
        <v>-3862</v>
      </c>
      <c r="AG23" s="227">
        <v>-436</v>
      </c>
      <c r="AH23" s="19">
        <f>-67-AG23+1</f>
        <v>370</v>
      </c>
      <c r="AI23" s="19">
        <f>-1307-AH23-AG23+1</f>
        <v>-1240</v>
      </c>
      <c r="AJ23" s="90">
        <f>-1835-AI23-AH23-AG23+1</f>
        <v>-528</v>
      </c>
      <c r="AK23" s="207">
        <f>SUM(AG23:AJ23)-1</f>
        <v>-1835</v>
      </c>
      <c r="AL23" s="227">
        <v>-2242</v>
      </c>
      <c r="AM23" s="19">
        <f>-2963-AL23</f>
        <v>-721</v>
      </c>
      <c r="AN23" s="19">
        <f>-6077-AM23-AL23</f>
        <v>-3114</v>
      </c>
      <c r="AO23" s="90">
        <f>-7937-AN23-AM23-AL23</f>
        <v>-1860</v>
      </c>
      <c r="AP23" s="207">
        <f t="shared" ref="AP23:AP28" si="14">SUM(AL23:AO23)</f>
        <v>-7937</v>
      </c>
      <c r="AQ23" s="227">
        <v>-2520</v>
      </c>
      <c r="AR23" s="19">
        <f>-4864-AQ23</f>
        <v>-2344</v>
      </c>
      <c r="AS23" s="19">
        <f>-7350-AR23-AQ23</f>
        <v>-2486</v>
      </c>
      <c r="AT23" s="90">
        <f>-7076-AS23-AR23-AQ23</f>
        <v>274</v>
      </c>
      <c r="AU23" s="207">
        <f t="shared" ref="AU23:AU28" si="15">SUM(AQ23:AT23)</f>
        <v>-7076</v>
      </c>
      <c r="AV23" s="227">
        <v>-101</v>
      </c>
      <c r="AW23" s="19">
        <f>-1751-AV23</f>
        <v>-1650</v>
      </c>
      <c r="AX23" s="19">
        <f>-3555-SUM(AV23:AW23)</f>
        <v>-1804</v>
      </c>
      <c r="AY23" s="90">
        <f>-2667-SUM(AV23:AX23)</f>
        <v>888</v>
      </c>
      <c r="AZ23" s="207">
        <f t="shared" ref="AZ23:AZ28" si="16">SUM(AV23:AY23)</f>
        <v>-2667</v>
      </c>
      <c r="BA23" s="227">
        <v>-499</v>
      </c>
      <c r="BB23" s="19">
        <f>-2735-BA23</f>
        <v>-2236</v>
      </c>
      <c r="BC23" s="19">
        <f>-2839-BB23-BA23</f>
        <v>-104</v>
      </c>
      <c r="BD23" s="90">
        <f>-1769-SUM(BA23:BC23)</f>
        <v>1070</v>
      </c>
      <c r="BE23" s="207">
        <f t="shared" ref="BE23:BE28" si="17">SUM(BA23:BD23)</f>
        <v>-1769</v>
      </c>
      <c r="BF23" s="227">
        <v>-1945</v>
      </c>
      <c r="BG23" s="19">
        <f>-4390-BF23</f>
        <v>-2445</v>
      </c>
      <c r="BH23" s="19">
        <f>-5400-BF23-BG23+1</f>
        <v>-1009</v>
      </c>
      <c r="BI23" s="90">
        <f>-5177-BH23-BG23-BF23</f>
        <v>222</v>
      </c>
      <c r="BJ23" s="207">
        <f t="shared" ref="BJ23:BJ28" si="18">SUM(BF23:BI23)</f>
        <v>-5177</v>
      </c>
      <c r="BK23" s="227">
        <v>838</v>
      </c>
      <c r="BL23" s="19">
        <f t="shared" ref="BL23:BL28" si="19">BO23-BK23</f>
        <v>-1163</v>
      </c>
      <c r="BM23" s="19"/>
      <c r="BN23" s="90"/>
      <c r="BO23" s="207">
        <v>-325</v>
      </c>
    </row>
    <row r="24" spans="2:67" ht="13">
      <c r="B24" s="392" t="s">
        <v>183</v>
      </c>
      <c r="C24" s="446">
        <v>-96</v>
      </c>
      <c r="D24" s="446">
        <f>13-C24</f>
        <v>109</v>
      </c>
      <c r="E24" s="446">
        <f>-2-C24-D24</f>
        <v>-15</v>
      </c>
      <c r="F24" s="447">
        <f>-495-C24-D24-E24</f>
        <v>-493</v>
      </c>
      <c r="G24" s="442">
        <f t="shared" si="0"/>
        <v>-495</v>
      </c>
      <c r="H24" s="444">
        <v>-702</v>
      </c>
      <c r="I24" s="444">
        <f>-1693-H24</f>
        <v>-991</v>
      </c>
      <c r="J24" s="444">
        <f>-1925-H24-I24</f>
        <v>-232</v>
      </c>
      <c r="K24" s="448">
        <f>-1442-H24-I24-J24</f>
        <v>483</v>
      </c>
      <c r="L24" s="442">
        <f t="shared" si="1"/>
        <v>-1442</v>
      </c>
      <c r="M24" s="19">
        <v>-852</v>
      </c>
      <c r="N24" s="89">
        <f>-633-M24</f>
        <v>219</v>
      </c>
      <c r="O24" s="89">
        <f>-924-M24-N24</f>
        <v>-291</v>
      </c>
      <c r="P24" s="90">
        <v>453</v>
      </c>
      <c r="Q24" s="445">
        <f t="shared" si="2"/>
        <v>-471</v>
      </c>
      <c r="R24" s="227">
        <v>-164</v>
      </c>
      <c r="S24" s="89">
        <f>-49-R24</f>
        <v>115</v>
      </c>
      <c r="T24" s="89">
        <f>-604-R24-S24</f>
        <v>-555</v>
      </c>
      <c r="U24" s="90">
        <f>-376-T24-S24-R24</f>
        <v>228</v>
      </c>
      <c r="V24" s="445">
        <f t="shared" si="3"/>
        <v>-376</v>
      </c>
      <c r="W24" s="227">
        <v>-83</v>
      </c>
      <c r="X24" s="89">
        <f>-116-W24</f>
        <v>-33</v>
      </c>
      <c r="Y24" s="89">
        <f>-1022-X24-W24</f>
        <v>-906</v>
      </c>
      <c r="Z24" s="90">
        <f>-839-Y24-X24-W24</f>
        <v>183</v>
      </c>
      <c r="AA24" s="445">
        <f t="shared" si="4"/>
        <v>-839</v>
      </c>
      <c r="AB24" s="227">
        <v>-117</v>
      </c>
      <c r="AC24" s="19">
        <v>590</v>
      </c>
      <c r="AD24" s="19">
        <f>-376+10</f>
        <v>-366</v>
      </c>
      <c r="AE24" s="90">
        <v>398</v>
      </c>
      <c r="AF24" s="207">
        <f t="shared" si="13"/>
        <v>505</v>
      </c>
      <c r="AG24" s="227">
        <v>104</v>
      </c>
      <c r="AH24" s="19">
        <f>334-AG24</f>
        <v>230</v>
      </c>
      <c r="AI24" s="19">
        <f>37-AH24-AG24</f>
        <v>-297</v>
      </c>
      <c r="AJ24" s="90">
        <f>-669-AI24-AH24-AG24</f>
        <v>-706</v>
      </c>
      <c r="AK24" s="207">
        <f>SUM(AG24:AJ24)</f>
        <v>-669</v>
      </c>
      <c r="AL24" s="227">
        <v>307</v>
      </c>
      <c r="AM24" s="19">
        <f>-299-AL24</f>
        <v>-606</v>
      </c>
      <c r="AN24" s="19">
        <f>-1182-AM24-AL24</f>
        <v>-883</v>
      </c>
      <c r="AO24" s="90">
        <f>-1673-AN24-AM24-AL24</f>
        <v>-491</v>
      </c>
      <c r="AP24" s="207">
        <f t="shared" si="14"/>
        <v>-1673</v>
      </c>
      <c r="AQ24" s="227">
        <v>-1280</v>
      </c>
      <c r="AR24" s="19">
        <f>-1254-AQ24</f>
        <v>26</v>
      </c>
      <c r="AS24" s="19">
        <f>-2498-AR24-AQ24</f>
        <v>-1244</v>
      </c>
      <c r="AT24" s="90">
        <f>-3267-AS24-AR24-AQ24</f>
        <v>-769</v>
      </c>
      <c r="AU24" s="207">
        <f t="shared" si="15"/>
        <v>-3267</v>
      </c>
      <c r="AV24" s="227">
        <v>-158</v>
      </c>
      <c r="AW24" s="19">
        <f>-259-AV24</f>
        <v>-101</v>
      </c>
      <c r="AX24" s="19">
        <f>-683-SUM(AV24:AW24)</f>
        <v>-424</v>
      </c>
      <c r="AY24" s="90">
        <f>-1252-SUM(AV24:AX24)</f>
        <v>-569</v>
      </c>
      <c r="AZ24" s="207">
        <f t="shared" si="16"/>
        <v>-1252</v>
      </c>
      <c r="BA24" s="227">
        <v>-167</v>
      </c>
      <c r="BB24" s="19">
        <f>-207-BA24</f>
        <v>-40</v>
      </c>
      <c r="BC24" s="19">
        <f>198-BB24-BA24</f>
        <v>405</v>
      </c>
      <c r="BD24" s="90">
        <f>-1334-SUM(BA24:BC24)</f>
        <v>-1532</v>
      </c>
      <c r="BE24" s="207">
        <f t="shared" si="17"/>
        <v>-1334</v>
      </c>
      <c r="BF24" s="227">
        <v>714</v>
      </c>
      <c r="BG24" s="19">
        <f>-67-BF24</f>
        <v>-781</v>
      </c>
      <c r="BH24" s="19">
        <f>-1457-BF24-BG24-1</f>
        <v>-1391</v>
      </c>
      <c r="BI24" s="90">
        <f>-2312-BH24-BG24-BF24</f>
        <v>-854</v>
      </c>
      <c r="BJ24" s="207">
        <f t="shared" si="18"/>
        <v>-2312</v>
      </c>
      <c r="BK24" s="227">
        <v>141</v>
      </c>
      <c r="BL24" s="19">
        <f t="shared" si="19"/>
        <v>164</v>
      </c>
      <c r="BM24" s="19"/>
      <c r="BN24" s="90"/>
      <c r="BO24" s="207">
        <v>305</v>
      </c>
    </row>
    <row r="25" spans="2:67" ht="13">
      <c r="B25" s="392" t="s">
        <v>137</v>
      </c>
      <c r="C25" s="446">
        <v>-52</v>
      </c>
      <c r="D25" s="446">
        <f>-20-C25</f>
        <v>32</v>
      </c>
      <c r="E25" s="446">
        <f>20-C25-D25</f>
        <v>40</v>
      </c>
      <c r="F25" s="447">
        <f>-17-C25-D25-E25</f>
        <v>-37</v>
      </c>
      <c r="G25" s="442">
        <f t="shared" si="0"/>
        <v>-17</v>
      </c>
      <c r="H25" s="444">
        <v>53</v>
      </c>
      <c r="I25" s="444">
        <f>-33-H25</f>
        <v>-86</v>
      </c>
      <c r="J25" s="444">
        <f>-13-H25-I25</f>
        <v>20</v>
      </c>
      <c r="K25" s="448">
        <f>242-H25-I25-J25</f>
        <v>255</v>
      </c>
      <c r="L25" s="442">
        <f t="shared" si="1"/>
        <v>242</v>
      </c>
      <c r="M25" s="19">
        <v>-124</v>
      </c>
      <c r="N25" s="89">
        <f>-78-M25</f>
        <v>46</v>
      </c>
      <c r="O25" s="89">
        <f>-51-M25-N25</f>
        <v>27</v>
      </c>
      <c r="P25" s="90">
        <v>32</v>
      </c>
      <c r="Q25" s="445">
        <f t="shared" si="2"/>
        <v>-19</v>
      </c>
      <c r="R25" s="227">
        <v>-107</v>
      </c>
      <c r="S25" s="89">
        <v>269</v>
      </c>
      <c r="T25" s="89">
        <f>126-R25-S25</f>
        <v>-36</v>
      </c>
      <c r="U25" s="90">
        <f>328-T25-S25-R25</f>
        <v>202</v>
      </c>
      <c r="V25" s="445">
        <f t="shared" si="3"/>
        <v>328</v>
      </c>
      <c r="W25" s="227">
        <v>96</v>
      </c>
      <c r="X25" s="89">
        <f>488-W25</f>
        <v>392</v>
      </c>
      <c r="Y25" s="89">
        <f>782-X25-W25</f>
        <v>294</v>
      </c>
      <c r="Z25" s="90">
        <f>916-Y25-X25-W25</f>
        <v>134</v>
      </c>
      <c r="AA25" s="445">
        <f t="shared" si="4"/>
        <v>916</v>
      </c>
      <c r="AB25" s="227">
        <v>-1020</v>
      </c>
      <c r="AC25" s="19">
        <v>-51</v>
      </c>
      <c r="AD25" s="19">
        <v>-258</v>
      </c>
      <c r="AE25" s="90">
        <v>956</v>
      </c>
      <c r="AF25" s="207">
        <f t="shared" si="13"/>
        <v>-373</v>
      </c>
      <c r="AG25" s="227">
        <v>-89</v>
      </c>
      <c r="AH25" s="19">
        <f>-477-AG25</f>
        <v>-388</v>
      </c>
      <c r="AI25" s="19">
        <f>-411-AH25-AG25</f>
        <v>66</v>
      </c>
      <c r="AJ25" s="90">
        <f>-245-AI25-AH25-AG25</f>
        <v>166</v>
      </c>
      <c r="AK25" s="207">
        <f>SUM(AG25:AJ25)</f>
        <v>-245</v>
      </c>
      <c r="AL25" s="227">
        <v>22</v>
      </c>
      <c r="AM25" s="19">
        <f>349-AL25</f>
        <v>327</v>
      </c>
      <c r="AN25" s="19">
        <f>1118-AM25-AL25</f>
        <v>769</v>
      </c>
      <c r="AO25" s="90">
        <f>1489-AN25-AM25-AL25</f>
        <v>371</v>
      </c>
      <c r="AP25" s="207">
        <f t="shared" si="14"/>
        <v>1489</v>
      </c>
      <c r="AQ25" s="227">
        <v>-184</v>
      </c>
      <c r="AR25" s="19">
        <f>-9-AQ25</f>
        <v>175</v>
      </c>
      <c r="AS25" s="19">
        <f>644-AR25-AQ25</f>
        <v>653</v>
      </c>
      <c r="AT25" s="90">
        <f>-279-AS25-AR25-AQ25</f>
        <v>-923</v>
      </c>
      <c r="AU25" s="207">
        <f t="shared" si="15"/>
        <v>-279</v>
      </c>
      <c r="AV25" s="227">
        <v>-106</v>
      </c>
      <c r="AW25" s="19">
        <f>-661-AV25</f>
        <v>-555</v>
      </c>
      <c r="AX25" s="19">
        <f>-39-SUM(AV25:AW25)</f>
        <v>622</v>
      </c>
      <c r="AY25" s="90">
        <f>91-SUM(AV25:AX25)</f>
        <v>130</v>
      </c>
      <c r="AZ25" s="207">
        <f t="shared" si="16"/>
        <v>91</v>
      </c>
      <c r="BA25" s="227">
        <v>-271</v>
      </c>
      <c r="BB25" s="19">
        <f>-147-BA25</f>
        <v>124</v>
      </c>
      <c r="BC25" s="19">
        <f>-313-BB25-BA25</f>
        <v>-166</v>
      </c>
      <c r="BD25" s="90">
        <f>176-SUM(BA25:BC25)</f>
        <v>489</v>
      </c>
      <c r="BE25" s="207">
        <f t="shared" si="17"/>
        <v>176</v>
      </c>
      <c r="BF25" s="227">
        <v>-673</v>
      </c>
      <c r="BG25" s="19">
        <f>-451-BF25</f>
        <v>222</v>
      </c>
      <c r="BH25" s="19">
        <f>537-BF25-BG25</f>
        <v>988</v>
      </c>
      <c r="BI25" s="90">
        <f>-26-BH25-BG25-BF25</f>
        <v>-563</v>
      </c>
      <c r="BJ25" s="207">
        <f t="shared" si="18"/>
        <v>-26</v>
      </c>
      <c r="BK25" s="227">
        <v>-373</v>
      </c>
      <c r="BL25" s="19">
        <f t="shared" si="19"/>
        <v>14</v>
      </c>
      <c r="BM25" s="19"/>
      <c r="BN25" s="90"/>
      <c r="BO25" s="207">
        <v>-359</v>
      </c>
    </row>
    <row r="26" spans="2:67" ht="13">
      <c r="B26" s="392" t="s">
        <v>140</v>
      </c>
      <c r="C26" s="446">
        <v>-1</v>
      </c>
      <c r="D26" s="446">
        <f>-15-C26</f>
        <v>-14</v>
      </c>
      <c r="E26" s="446">
        <f>-18-C26-D26</f>
        <v>-3</v>
      </c>
      <c r="F26" s="447">
        <f>-13-C26-D26-E26</f>
        <v>5</v>
      </c>
      <c r="G26" s="442">
        <f t="shared" si="0"/>
        <v>-13</v>
      </c>
      <c r="H26" s="444">
        <v>-6</v>
      </c>
      <c r="I26" s="444">
        <f>-5-H26</f>
        <v>1</v>
      </c>
      <c r="J26" s="444">
        <f>9-H26-I26</f>
        <v>14</v>
      </c>
      <c r="K26" s="448">
        <f>1-H26-I26-J26</f>
        <v>-8</v>
      </c>
      <c r="L26" s="442">
        <f t="shared" si="1"/>
        <v>1</v>
      </c>
      <c r="M26" s="19">
        <v>-2</v>
      </c>
      <c r="N26" s="89">
        <f>-17-M26</f>
        <v>-15</v>
      </c>
      <c r="O26" s="89">
        <f>-1-M26-N26</f>
        <v>16</v>
      </c>
      <c r="P26" s="90">
        <v>5</v>
      </c>
      <c r="Q26" s="445">
        <f t="shared" si="2"/>
        <v>4</v>
      </c>
      <c r="R26" s="227">
        <v>-16</v>
      </c>
      <c r="S26" s="89">
        <v>-4</v>
      </c>
      <c r="T26" s="89">
        <f>119-R26-S26</f>
        <v>139</v>
      </c>
      <c r="U26" s="90">
        <f>6-T26-S26-R26</f>
        <v>-113</v>
      </c>
      <c r="V26" s="445">
        <f t="shared" si="3"/>
        <v>6</v>
      </c>
      <c r="W26" s="227">
        <v>149</v>
      </c>
      <c r="X26" s="89">
        <f>52-W26</f>
        <v>-97</v>
      </c>
      <c r="Y26" s="89">
        <f>-7-X26-W26</f>
        <v>-59</v>
      </c>
      <c r="Z26" s="90">
        <f>-11-Y26-X26-W26</f>
        <v>-4</v>
      </c>
      <c r="AA26" s="445">
        <f t="shared" si="4"/>
        <v>-11</v>
      </c>
      <c r="AB26" s="331">
        <v>0</v>
      </c>
      <c r="AC26" s="362">
        <v>-11</v>
      </c>
      <c r="AD26" s="362">
        <v>2</v>
      </c>
      <c r="AE26" s="90">
        <v>-6</v>
      </c>
      <c r="AF26" s="207">
        <f t="shared" si="13"/>
        <v>-15</v>
      </c>
      <c r="AG26" s="331">
        <v>0</v>
      </c>
      <c r="AH26" s="362">
        <v>0</v>
      </c>
      <c r="AI26" s="362">
        <v>0</v>
      </c>
      <c r="AJ26" s="90">
        <v>0</v>
      </c>
      <c r="AK26" s="207">
        <f>SUM(AG26:AJ26)</f>
        <v>0</v>
      </c>
      <c r="AL26" s="331">
        <v>0</v>
      </c>
      <c r="AM26" s="362">
        <v>0</v>
      </c>
      <c r="AN26" s="362">
        <v>0</v>
      </c>
      <c r="AO26" s="90">
        <v>0</v>
      </c>
      <c r="AP26" s="207">
        <f t="shared" si="14"/>
        <v>0</v>
      </c>
      <c r="AQ26" s="331">
        <v>0</v>
      </c>
      <c r="AR26" s="362">
        <v>0</v>
      </c>
      <c r="AS26" s="362">
        <v>0</v>
      </c>
      <c r="AT26" s="90">
        <v>0</v>
      </c>
      <c r="AU26" s="207">
        <f t="shared" si="15"/>
        <v>0</v>
      </c>
      <c r="AV26" s="331">
        <v>0</v>
      </c>
      <c r="AW26" s="362">
        <v>0</v>
      </c>
      <c r="AX26" s="362">
        <v>0</v>
      </c>
      <c r="AY26" s="362">
        <v>0</v>
      </c>
      <c r="AZ26" s="207">
        <f t="shared" si="16"/>
        <v>0</v>
      </c>
      <c r="BA26" s="331">
        <v>0</v>
      </c>
      <c r="BB26" s="362">
        <v>0</v>
      </c>
      <c r="BC26" s="362">
        <v>0</v>
      </c>
      <c r="BD26" s="362">
        <v>0</v>
      </c>
      <c r="BE26" s="207">
        <f t="shared" si="17"/>
        <v>0</v>
      </c>
      <c r="BF26" s="331">
        <v>0</v>
      </c>
      <c r="BG26" s="362">
        <v>0</v>
      </c>
      <c r="BH26" s="362">
        <v>0</v>
      </c>
      <c r="BI26" s="362">
        <v>0</v>
      </c>
      <c r="BJ26" s="207">
        <f t="shared" si="18"/>
        <v>0</v>
      </c>
      <c r="BK26" s="362">
        <v>0</v>
      </c>
      <c r="BL26" s="362">
        <f t="shared" si="19"/>
        <v>0</v>
      </c>
      <c r="BM26" s="362"/>
      <c r="BN26" s="362"/>
      <c r="BO26" s="207">
        <v>0</v>
      </c>
    </row>
    <row r="27" spans="2:67" ht="13">
      <c r="B27" s="392" t="s">
        <v>184</v>
      </c>
      <c r="C27" s="446">
        <v>200</v>
      </c>
      <c r="D27" s="446">
        <f>180-C27</f>
        <v>-20</v>
      </c>
      <c r="E27" s="446">
        <f>216-C27-D27</f>
        <v>36</v>
      </c>
      <c r="F27" s="447">
        <f>272-C27-D27-E27</f>
        <v>56</v>
      </c>
      <c r="G27" s="442">
        <f t="shared" si="0"/>
        <v>272</v>
      </c>
      <c r="H27" s="444">
        <v>131</v>
      </c>
      <c r="I27" s="444">
        <f>55-H27</f>
        <v>-76</v>
      </c>
      <c r="J27" s="444">
        <f>341-H27-I27</f>
        <v>286</v>
      </c>
      <c r="K27" s="448">
        <f>280-H27-I27-J27</f>
        <v>-61</v>
      </c>
      <c r="L27" s="442">
        <f t="shared" si="1"/>
        <v>280</v>
      </c>
      <c r="M27" s="19">
        <v>207</v>
      </c>
      <c r="N27" s="89">
        <f>146-M27</f>
        <v>-61</v>
      </c>
      <c r="O27" s="89">
        <f>487-M27-N27</f>
        <v>341</v>
      </c>
      <c r="P27" s="90">
        <v>-42</v>
      </c>
      <c r="Q27" s="445">
        <f t="shared" si="2"/>
        <v>445</v>
      </c>
      <c r="R27" s="227">
        <v>221</v>
      </c>
      <c r="S27" s="89">
        <v>0</v>
      </c>
      <c r="T27" s="89">
        <f>536-R27-S27</f>
        <v>315</v>
      </c>
      <c r="U27" s="90">
        <f>673-T27-S27-R27</f>
        <v>137</v>
      </c>
      <c r="V27" s="445">
        <f t="shared" si="3"/>
        <v>673</v>
      </c>
      <c r="W27" s="227">
        <v>14</v>
      </c>
      <c r="X27" s="89">
        <f>89-W27</f>
        <v>75</v>
      </c>
      <c r="Y27" s="89">
        <f>553-X27-W27</f>
        <v>464</v>
      </c>
      <c r="Z27" s="90">
        <f>334-Y27-X27-W27</f>
        <v>-219</v>
      </c>
      <c r="AA27" s="445">
        <f t="shared" si="4"/>
        <v>334</v>
      </c>
      <c r="AB27" s="227">
        <v>-6</v>
      </c>
      <c r="AC27" s="19">
        <v>-104</v>
      </c>
      <c r="AD27" s="19">
        <v>415</v>
      </c>
      <c r="AE27" s="90">
        <v>-157</v>
      </c>
      <c r="AF27" s="207">
        <f t="shared" si="13"/>
        <v>148</v>
      </c>
      <c r="AG27" s="227">
        <v>113</v>
      </c>
      <c r="AH27" s="19">
        <f>349-AG27</f>
        <v>236</v>
      </c>
      <c r="AI27" s="19">
        <f>947-AH27-AG27</f>
        <v>598</v>
      </c>
      <c r="AJ27" s="90">
        <f>1019-AI27-AH27-AG27</f>
        <v>72</v>
      </c>
      <c r="AK27" s="207">
        <f>SUM(AG27:AJ27)</f>
        <v>1019</v>
      </c>
      <c r="AL27" s="227">
        <v>228</v>
      </c>
      <c r="AM27" s="19">
        <f>345-AL27</f>
        <v>117</v>
      </c>
      <c r="AN27" s="19">
        <f>2097-AM27-AL27</f>
        <v>1752</v>
      </c>
      <c r="AO27" s="90">
        <f>2229-AN27-AM27-AL27</f>
        <v>132</v>
      </c>
      <c r="AP27" s="207">
        <f t="shared" si="14"/>
        <v>2229</v>
      </c>
      <c r="AQ27" s="227">
        <v>-9</v>
      </c>
      <c r="AR27" s="19">
        <f>625-AQ27</f>
        <v>634</v>
      </c>
      <c r="AS27" s="19">
        <f>789-AR27-AQ27</f>
        <v>164</v>
      </c>
      <c r="AT27" s="90">
        <f>834-AS27-AR27-AQ27</f>
        <v>45</v>
      </c>
      <c r="AU27" s="207">
        <f t="shared" si="15"/>
        <v>834</v>
      </c>
      <c r="AV27" s="227">
        <v>167</v>
      </c>
      <c r="AW27" s="19">
        <f>-152-AV27</f>
        <v>-319</v>
      </c>
      <c r="AX27" s="19">
        <f>511-SUM(AV27:AW27)</f>
        <v>663</v>
      </c>
      <c r="AY27" s="90">
        <f>178-SUM(AV27:AX27)</f>
        <v>-333</v>
      </c>
      <c r="AZ27" s="207">
        <f t="shared" si="16"/>
        <v>178</v>
      </c>
      <c r="BA27" s="227">
        <v>-385</v>
      </c>
      <c r="BB27" s="19">
        <f>-138-BA27</f>
        <v>247</v>
      </c>
      <c r="BC27" s="19">
        <f>1110-BB27-BA27</f>
        <v>1248</v>
      </c>
      <c r="BD27" s="90">
        <f>1145-SUM(BA27:BC27)</f>
        <v>35</v>
      </c>
      <c r="BE27" s="207">
        <f t="shared" si="17"/>
        <v>1145</v>
      </c>
      <c r="BF27" s="227">
        <v>20</v>
      </c>
      <c r="BG27" s="19">
        <f>515-BF27</f>
        <v>495</v>
      </c>
      <c r="BH27" s="19">
        <f>2596-BF27-BG27</f>
        <v>2081</v>
      </c>
      <c r="BI27" s="90">
        <f>3098-BH27-BG27-BF27</f>
        <v>502</v>
      </c>
      <c r="BJ27" s="207">
        <f t="shared" si="18"/>
        <v>3098</v>
      </c>
      <c r="BK27" s="227">
        <v>-268</v>
      </c>
      <c r="BL27" s="19">
        <f t="shared" si="19"/>
        <v>227</v>
      </c>
      <c r="BM27" s="19"/>
      <c r="BN27" s="90"/>
      <c r="BO27" s="207">
        <v>-41</v>
      </c>
    </row>
    <row r="28" spans="2:67" ht="14.5">
      <c r="B28" s="392" t="s">
        <v>185</v>
      </c>
      <c r="C28" s="311">
        <v>164</v>
      </c>
      <c r="D28" s="311">
        <f>786-C28</f>
        <v>622</v>
      </c>
      <c r="E28" s="311">
        <f>1000-C28-D28</f>
        <v>214</v>
      </c>
      <c r="F28" s="312">
        <f>631-C28-D28-E28</f>
        <v>-369</v>
      </c>
      <c r="G28" s="313">
        <f t="shared" si="0"/>
        <v>631</v>
      </c>
      <c r="H28" s="314">
        <v>392</v>
      </c>
      <c r="I28" s="314">
        <f>1275-H28</f>
        <v>883</v>
      </c>
      <c r="J28" s="314">
        <f>605-H28-I28</f>
        <v>-670</v>
      </c>
      <c r="K28" s="315">
        <f>319-H28-I28-J28</f>
        <v>-286</v>
      </c>
      <c r="L28" s="313">
        <f t="shared" si="1"/>
        <v>319</v>
      </c>
      <c r="M28" s="209">
        <v>122</v>
      </c>
      <c r="N28" s="150">
        <f>94-M28</f>
        <v>-28</v>
      </c>
      <c r="O28" s="150">
        <f>624-M28-N28</f>
        <v>530</v>
      </c>
      <c r="P28" s="153">
        <v>-784</v>
      </c>
      <c r="Q28" s="316">
        <f t="shared" si="2"/>
        <v>-160</v>
      </c>
      <c r="R28" s="292">
        <v>759</v>
      </c>
      <c r="S28" s="150">
        <v>-102</v>
      </c>
      <c r="T28" s="150">
        <f>659-R28-S28</f>
        <v>2</v>
      </c>
      <c r="U28" s="153">
        <f>786-T28-S28-R28</f>
        <v>127</v>
      </c>
      <c r="V28" s="316">
        <f t="shared" si="3"/>
        <v>786</v>
      </c>
      <c r="W28" s="292">
        <v>886</v>
      </c>
      <c r="X28" s="150">
        <f>1581-W28</f>
        <v>695</v>
      </c>
      <c r="Y28" s="150">
        <f>1395-X28-W28</f>
        <v>-186</v>
      </c>
      <c r="Z28" s="153">
        <f>1889-Y28-X28-W28</f>
        <v>494</v>
      </c>
      <c r="AA28" s="316">
        <f t="shared" si="4"/>
        <v>1889</v>
      </c>
      <c r="AB28" s="292">
        <v>1219</v>
      </c>
      <c r="AC28" s="209">
        <v>-168</v>
      </c>
      <c r="AD28" s="209">
        <f>653</f>
        <v>653</v>
      </c>
      <c r="AE28" s="153">
        <v>-45</v>
      </c>
      <c r="AF28" s="326">
        <f t="shared" si="13"/>
        <v>1659</v>
      </c>
      <c r="AG28" s="292">
        <v>280</v>
      </c>
      <c r="AH28" s="209">
        <f>424-AG28</f>
        <v>144</v>
      </c>
      <c r="AI28" s="209">
        <f>1412-AH28-AG28</f>
        <v>988</v>
      </c>
      <c r="AJ28" s="153">
        <f>2365-AI28-AH28-AG28-2</f>
        <v>951</v>
      </c>
      <c r="AK28" s="326">
        <f>SUM(AG28:AJ28)</f>
        <v>2363</v>
      </c>
      <c r="AL28" s="292">
        <v>1681</v>
      </c>
      <c r="AM28" s="209">
        <f>2409-AL28</f>
        <v>728</v>
      </c>
      <c r="AN28" s="209">
        <f>3031-AM28-AL28</f>
        <v>622</v>
      </c>
      <c r="AO28" s="153">
        <f>4709-AN28-AM28-AL28</f>
        <v>1678</v>
      </c>
      <c r="AP28" s="326">
        <f t="shared" si="14"/>
        <v>4709</v>
      </c>
      <c r="AQ28" s="292">
        <v>2475</v>
      </c>
      <c r="AR28" s="209">
        <f>2588-AQ28</f>
        <v>113</v>
      </c>
      <c r="AS28" s="209">
        <f>2474-AR28-AQ28</f>
        <v>-114</v>
      </c>
      <c r="AT28" s="153">
        <f>3285-AS28-AR28-AQ28</f>
        <v>811</v>
      </c>
      <c r="AU28" s="326">
        <f t="shared" si="15"/>
        <v>3285</v>
      </c>
      <c r="AV28" s="292">
        <v>-1989</v>
      </c>
      <c r="AW28" s="209">
        <f>-616-AV28</f>
        <v>1373</v>
      </c>
      <c r="AX28" s="209">
        <f>-1513-SUM(AV28:AW28)</f>
        <v>-897</v>
      </c>
      <c r="AY28" s="153">
        <f>-1512-SUM(AV28:AX28)</f>
        <v>1</v>
      </c>
      <c r="AZ28" s="326">
        <f t="shared" si="16"/>
        <v>-1512</v>
      </c>
      <c r="BA28" s="292">
        <v>-4</v>
      </c>
      <c r="BB28" s="209">
        <f>1216-BA28</f>
        <v>1220</v>
      </c>
      <c r="BC28" s="209">
        <f>653-BB28-BA28</f>
        <v>-563</v>
      </c>
      <c r="BD28" s="153">
        <f>1177-SUM(BA28:BC28)</f>
        <v>524</v>
      </c>
      <c r="BE28" s="326">
        <f t="shared" si="17"/>
        <v>1177</v>
      </c>
      <c r="BF28" s="292">
        <v>819</v>
      </c>
      <c r="BG28" s="209">
        <f>2424-BF28</f>
        <v>1605</v>
      </c>
      <c r="BH28" s="209">
        <f>2616-BG28-BF28</f>
        <v>192</v>
      </c>
      <c r="BI28" s="153">
        <f>2111-BH28-BG28-BF28</f>
        <v>-505</v>
      </c>
      <c r="BJ28" s="326">
        <f t="shared" si="18"/>
        <v>2111</v>
      </c>
      <c r="BK28" s="292">
        <v>-966</v>
      </c>
      <c r="BL28" s="209">
        <f t="shared" si="19"/>
        <v>319</v>
      </c>
      <c r="BM28" s="209"/>
      <c r="BN28" s="153"/>
      <c r="BO28" s="326">
        <v>-647</v>
      </c>
    </row>
    <row r="29" spans="2:67" ht="13">
      <c r="B29" s="392"/>
      <c r="C29" s="446"/>
      <c r="D29" s="446"/>
      <c r="E29" s="446"/>
      <c r="F29" s="447"/>
      <c r="G29" s="442"/>
      <c r="H29" s="444"/>
      <c r="I29" s="444"/>
      <c r="J29" s="444"/>
      <c r="K29" s="448"/>
      <c r="L29" s="442"/>
      <c r="M29" s="19"/>
      <c r="N29" s="89"/>
      <c r="O29" s="89"/>
      <c r="P29" s="90"/>
      <c r="Q29" s="445"/>
      <c r="R29" s="227"/>
      <c r="S29" s="89"/>
      <c r="T29" s="89"/>
      <c r="U29" s="90"/>
      <c r="V29" s="445"/>
      <c r="W29" s="227"/>
      <c r="X29" s="89"/>
      <c r="Y29" s="89"/>
      <c r="Z29" s="90"/>
      <c r="AA29" s="445"/>
      <c r="AB29" s="227"/>
      <c r="AC29" s="19"/>
      <c r="AD29" s="19"/>
      <c r="AE29" s="90"/>
      <c r="AF29" s="207"/>
      <c r="AG29" s="227"/>
      <c r="AH29" s="19"/>
      <c r="AI29" s="19"/>
      <c r="AJ29" s="90"/>
      <c r="AK29" s="207"/>
      <c r="AL29" s="227"/>
      <c r="AM29" s="19"/>
      <c r="AN29" s="19"/>
      <c r="AO29" s="90"/>
      <c r="AP29" s="207"/>
      <c r="AQ29" s="227"/>
      <c r="AR29" s="19"/>
      <c r="AS29" s="19"/>
      <c r="AT29" s="90"/>
      <c r="AU29" s="207"/>
      <c r="AV29" s="227"/>
      <c r="AW29" s="19"/>
      <c r="AX29" s="19"/>
      <c r="AY29" s="90"/>
      <c r="AZ29" s="207"/>
      <c r="BA29" s="227"/>
      <c r="BB29" s="19"/>
      <c r="BC29" s="19"/>
      <c r="BD29" s="90"/>
      <c r="BE29" s="207"/>
      <c r="BF29" s="227"/>
      <c r="BG29" s="19"/>
      <c r="BH29" s="19"/>
      <c r="BI29" s="90"/>
      <c r="BJ29" s="207"/>
      <c r="BK29" s="227"/>
      <c r="BL29" s="19"/>
      <c r="BM29" s="19"/>
      <c r="BN29" s="90"/>
      <c r="BO29" s="207"/>
    </row>
    <row r="30" spans="2:67">
      <c r="B30" s="174" t="s">
        <v>186</v>
      </c>
      <c r="C30" s="293">
        <f t="shared" ref="C30:AH30" si="20">SUM(C7:C28)</f>
        <v>3465</v>
      </c>
      <c r="D30" s="293">
        <f t="shared" si="20"/>
        <v>5555</v>
      </c>
      <c r="E30" s="293">
        <f t="shared" si="20"/>
        <v>5127</v>
      </c>
      <c r="F30" s="297">
        <f t="shared" si="20"/>
        <v>3356</v>
      </c>
      <c r="G30" s="298">
        <f t="shared" si="20"/>
        <v>17503</v>
      </c>
      <c r="H30" s="293">
        <f t="shared" si="20"/>
        <v>3507</v>
      </c>
      <c r="I30" s="293">
        <f t="shared" si="20"/>
        <v>4687</v>
      </c>
      <c r="J30" s="293">
        <f t="shared" si="20"/>
        <v>4654</v>
      </c>
      <c r="K30" s="297">
        <f t="shared" si="20"/>
        <v>5260</v>
      </c>
      <c r="L30" s="298">
        <f t="shared" si="20"/>
        <v>18108</v>
      </c>
      <c r="M30" s="293">
        <f t="shared" si="20"/>
        <v>3783</v>
      </c>
      <c r="N30" s="293">
        <f t="shared" si="20"/>
        <v>5453</v>
      </c>
      <c r="O30" s="293">
        <f t="shared" si="20"/>
        <v>5227</v>
      </c>
      <c r="P30" s="297">
        <f t="shared" si="20"/>
        <v>5253</v>
      </c>
      <c r="Q30" s="296">
        <f t="shared" si="20"/>
        <v>19716</v>
      </c>
      <c r="R30" s="299">
        <f t="shared" si="20"/>
        <v>5356</v>
      </c>
      <c r="S30" s="293">
        <f t="shared" si="20"/>
        <v>4436</v>
      </c>
      <c r="T30" s="293">
        <f t="shared" si="20"/>
        <v>6253</v>
      </c>
      <c r="U30" s="297">
        <f t="shared" si="20"/>
        <v>5343</v>
      </c>
      <c r="V30" s="296">
        <f t="shared" si="20"/>
        <v>21388</v>
      </c>
      <c r="W30" s="299">
        <f t="shared" si="20"/>
        <v>5694</v>
      </c>
      <c r="X30" s="293">
        <f t="shared" si="20"/>
        <v>5350</v>
      </c>
      <c r="Y30" s="293">
        <f t="shared" si="20"/>
        <v>5951</v>
      </c>
      <c r="Z30" s="293">
        <f t="shared" si="20"/>
        <v>5681</v>
      </c>
      <c r="AA30" s="296">
        <f t="shared" si="20"/>
        <v>22676</v>
      </c>
      <c r="AB30" s="299">
        <f t="shared" si="20"/>
        <v>5184</v>
      </c>
      <c r="AC30" s="293">
        <f t="shared" si="20"/>
        <v>5593</v>
      </c>
      <c r="AD30" s="293">
        <f t="shared" si="20"/>
        <v>5766</v>
      </c>
      <c r="AE30" s="293">
        <f t="shared" si="20"/>
        <v>6565</v>
      </c>
      <c r="AF30" s="296">
        <f t="shared" si="20"/>
        <v>23107</v>
      </c>
      <c r="AG30" s="293">
        <f t="shared" si="20"/>
        <v>6658</v>
      </c>
      <c r="AH30" s="293">
        <f t="shared" si="20"/>
        <v>8148</v>
      </c>
      <c r="AI30" s="293">
        <f t="shared" ref="AI30:BG30" si="21">SUM(AI7:AI28)</f>
        <v>8133</v>
      </c>
      <c r="AJ30" s="293">
        <f t="shared" si="21"/>
        <v>7577</v>
      </c>
      <c r="AK30" s="296">
        <f t="shared" si="21"/>
        <v>30516</v>
      </c>
      <c r="AL30" s="293">
        <f t="shared" si="21"/>
        <v>8030</v>
      </c>
      <c r="AM30" s="293">
        <f t="shared" si="21"/>
        <v>8209</v>
      </c>
      <c r="AN30" s="293">
        <f t="shared" si="21"/>
        <v>8091</v>
      </c>
      <c r="AO30" s="293">
        <f t="shared" si="21"/>
        <v>8246</v>
      </c>
      <c r="AP30" s="296">
        <f t="shared" si="21"/>
        <v>32576</v>
      </c>
      <c r="AQ30" s="293">
        <f t="shared" si="21"/>
        <v>7123</v>
      </c>
      <c r="AR30" s="293">
        <f t="shared" si="21"/>
        <v>8196</v>
      </c>
      <c r="AS30" s="293">
        <f t="shared" si="21"/>
        <v>7700</v>
      </c>
      <c r="AT30" s="293">
        <f t="shared" si="21"/>
        <v>8797</v>
      </c>
      <c r="AU30" s="296">
        <f t="shared" si="21"/>
        <v>31816</v>
      </c>
      <c r="AV30" s="293">
        <f t="shared" si="21"/>
        <v>7935</v>
      </c>
      <c r="AW30" s="293">
        <f t="shared" si="21"/>
        <v>9187</v>
      </c>
      <c r="AX30" s="293">
        <f t="shared" si="21"/>
        <v>8504</v>
      </c>
      <c r="AY30" s="293">
        <f t="shared" si="21"/>
        <v>9671</v>
      </c>
      <c r="AZ30" s="296">
        <f t="shared" si="21"/>
        <v>35297</v>
      </c>
      <c r="BA30" s="293">
        <f t="shared" si="21"/>
        <v>8769</v>
      </c>
      <c r="BB30" s="293">
        <f t="shared" si="21"/>
        <v>10529</v>
      </c>
      <c r="BC30" s="293">
        <f t="shared" si="21"/>
        <v>11892</v>
      </c>
      <c r="BD30" s="293">
        <f t="shared" si="21"/>
        <v>11198</v>
      </c>
      <c r="BE30" s="296">
        <f t="shared" si="21"/>
        <v>42388</v>
      </c>
      <c r="BF30" s="293">
        <f t="shared" si="21"/>
        <v>10272</v>
      </c>
      <c r="BG30" s="293">
        <f t="shared" si="21"/>
        <v>11283</v>
      </c>
      <c r="BH30" s="293">
        <f>SUM(BH7:BH28)</f>
        <v>11912</v>
      </c>
      <c r="BI30" s="293">
        <f>SUM(BI7:BI28)</f>
        <v>11006</v>
      </c>
      <c r="BJ30" s="296">
        <f>SUM(BJ7:BJ28)</f>
        <v>44472</v>
      </c>
      <c r="BK30" s="293">
        <f>SUM(BK7:BK28)</f>
        <v>11938</v>
      </c>
      <c r="BL30" s="293">
        <f>SUM(BL7:BL28)</f>
        <v>12712</v>
      </c>
      <c r="BM30" s="293"/>
      <c r="BN30" s="293"/>
      <c r="BO30" s="296">
        <f>SUM(BO7:BO28)</f>
        <v>24650</v>
      </c>
    </row>
    <row r="31" spans="2:67" ht="14.5">
      <c r="B31" s="392" t="s">
        <v>187</v>
      </c>
      <c r="C31" s="311">
        <v>-682</v>
      </c>
      <c r="D31" s="311">
        <f>-1967-C31</f>
        <v>-1285</v>
      </c>
      <c r="E31" s="311">
        <f>-3305-C31-D31</f>
        <v>-1338</v>
      </c>
      <c r="F31" s="312">
        <f>-6751-C31-D31-E31</f>
        <v>-3446</v>
      </c>
      <c r="G31" s="313">
        <f t="shared" si="0"/>
        <v>-6751</v>
      </c>
      <c r="H31" s="314">
        <v>-1305</v>
      </c>
      <c r="I31" s="314">
        <f>-2862-H31</f>
        <v>-1557</v>
      </c>
      <c r="J31" s="314">
        <f>-4390-H31-I31</f>
        <v>-1528</v>
      </c>
      <c r="K31" s="315">
        <f>-5865-H31-I31-J31</f>
        <v>-1475</v>
      </c>
      <c r="L31" s="313">
        <f t="shared" si="1"/>
        <v>-5865</v>
      </c>
      <c r="M31" s="317">
        <v>-744</v>
      </c>
      <c r="N31" s="150">
        <f>-2499-M31</f>
        <v>-1755</v>
      </c>
      <c r="O31" s="150">
        <f>-4025-M31-N31</f>
        <v>-1526</v>
      </c>
      <c r="P31" s="153">
        <v>-1628</v>
      </c>
      <c r="Q31" s="316">
        <f t="shared" si="2"/>
        <v>-5653</v>
      </c>
      <c r="R31" s="292">
        <v>-1205</v>
      </c>
      <c r="S31" s="209">
        <v>-1605</v>
      </c>
      <c r="T31" s="150">
        <f>-4806-R31-S31</f>
        <v>-1996</v>
      </c>
      <c r="U31" s="153">
        <f>-6829-T31-S31-R31</f>
        <v>-2023</v>
      </c>
      <c r="V31" s="316">
        <f t="shared" si="3"/>
        <v>-6829</v>
      </c>
      <c r="W31" s="292">
        <v>-1428</v>
      </c>
      <c r="X31" s="209">
        <f>-3653-W31</f>
        <v>-2225</v>
      </c>
      <c r="Y31" s="150">
        <f>-5259-X31-W31</f>
        <v>-1606</v>
      </c>
      <c r="Z31" s="153">
        <f>-6832-Y31-X31-W31</f>
        <v>-1573</v>
      </c>
      <c r="AA31" s="316">
        <f t="shared" si="4"/>
        <v>-6832</v>
      </c>
      <c r="AB31" s="292">
        <v>-801</v>
      </c>
      <c r="AC31" s="209">
        <v>-1904</v>
      </c>
      <c r="AD31" s="209">
        <v>-260</v>
      </c>
      <c r="AE31" s="153">
        <v>-1586</v>
      </c>
      <c r="AF31" s="326">
        <f>SUM(AB31:AE31)+1</f>
        <v>-4550</v>
      </c>
      <c r="AG31" s="292">
        <v>-717</v>
      </c>
      <c r="AH31" s="209">
        <f>-2987-AG31</f>
        <v>-2270</v>
      </c>
      <c r="AI31" s="209">
        <f>-5015-AH31-AG31</f>
        <v>-2028</v>
      </c>
      <c r="AJ31" s="153">
        <f>-6389-AI31-AH31-AG31</f>
        <v>-1374</v>
      </c>
      <c r="AK31" s="326">
        <f>SUM(AG31:AJ31)</f>
        <v>-6389</v>
      </c>
      <c r="AL31" s="292">
        <v>-1161</v>
      </c>
      <c r="AM31" s="209">
        <f>-3574-AL31</f>
        <v>-2413</v>
      </c>
      <c r="AN31" s="209">
        <f>-5763-AM31-AL31</f>
        <v>-2189</v>
      </c>
      <c r="AO31" s="153">
        <f>-7612-AN31-AM31-AL31</f>
        <v>-1849</v>
      </c>
      <c r="AP31" s="326">
        <f>SUM(AL31:AO31)</f>
        <v>-7612</v>
      </c>
      <c r="AQ31" s="292">
        <v>-1325</v>
      </c>
      <c r="AR31" s="209">
        <f>-4227-AQ31</f>
        <v>-2902</v>
      </c>
      <c r="AS31" s="209">
        <f>-6615-AR31-AQ31</f>
        <v>-2388</v>
      </c>
      <c r="AT31" s="153">
        <f>-8794-AS31-AR31-AQ31</f>
        <v>-2179</v>
      </c>
      <c r="AU31" s="326">
        <f>SUM(AQ31:AT31)</f>
        <v>-8794</v>
      </c>
      <c r="AV31" s="292">
        <v>-1379</v>
      </c>
      <c r="AW31" s="209">
        <f>-4538-AV31</f>
        <v>-3159</v>
      </c>
      <c r="AX31" s="209">
        <f>-7146-SUM(AV31:AW31)</f>
        <v>-2608</v>
      </c>
      <c r="AY31" s="153">
        <f>-9231-SUM(AV31:AX31)</f>
        <v>-2085</v>
      </c>
      <c r="AZ31" s="326">
        <f>SUM(AV31:AY31)</f>
        <v>-9231</v>
      </c>
      <c r="BA31" s="292">
        <v>841</v>
      </c>
      <c r="BB31" s="209">
        <f>-2165-BA31</f>
        <v>-3006</v>
      </c>
      <c r="BC31" s="209">
        <f>-2864-BB31-BA31</f>
        <v>-699</v>
      </c>
      <c r="BD31" s="153">
        <f>-5602-SUM(BA31:BC31)</f>
        <v>-2738</v>
      </c>
      <c r="BE31" s="326">
        <f>SUM(BA31:BD31)</f>
        <v>-5602</v>
      </c>
      <c r="BF31" s="292">
        <v>-1874</v>
      </c>
      <c r="BG31" s="209">
        <f>-2996-BF31</f>
        <v>-1122</v>
      </c>
      <c r="BH31" s="209">
        <f>-6310-BF31-BG31</f>
        <v>-3314</v>
      </c>
      <c r="BI31" s="153">
        <f>-8648-BH31-BG31-BF31</f>
        <v>-2338</v>
      </c>
      <c r="BJ31" s="326">
        <f>SUM(BF31:BI31)</f>
        <v>-8648</v>
      </c>
      <c r="BK31" s="292">
        <v>-2111</v>
      </c>
      <c r="BL31" s="209">
        <f>BO31-BK31</f>
        <v>-3005</v>
      </c>
      <c r="BM31" s="209"/>
      <c r="BN31" s="153"/>
      <c r="BO31" s="326">
        <v>-5116</v>
      </c>
    </row>
    <row r="32" spans="2:67" s="158" customFormat="1">
      <c r="B32" s="179" t="s">
        <v>188</v>
      </c>
      <c r="C32" s="293">
        <f t="shared" ref="C32:N32" si="22">SUM(C30:C31)</f>
        <v>2783</v>
      </c>
      <c r="D32" s="293">
        <f t="shared" si="22"/>
        <v>4270</v>
      </c>
      <c r="E32" s="293">
        <f t="shared" si="22"/>
        <v>3789</v>
      </c>
      <c r="F32" s="297">
        <f t="shared" si="22"/>
        <v>-90</v>
      </c>
      <c r="G32" s="298">
        <f t="shared" si="22"/>
        <v>10752</v>
      </c>
      <c r="H32" s="293">
        <f t="shared" si="22"/>
        <v>2202</v>
      </c>
      <c r="I32" s="293">
        <f t="shared" si="22"/>
        <v>3130</v>
      </c>
      <c r="J32" s="293">
        <f t="shared" si="22"/>
        <v>3126</v>
      </c>
      <c r="K32" s="297">
        <f t="shared" si="22"/>
        <v>3785</v>
      </c>
      <c r="L32" s="298">
        <f t="shared" si="22"/>
        <v>12243</v>
      </c>
      <c r="M32" s="293">
        <f t="shared" si="22"/>
        <v>3039</v>
      </c>
      <c r="N32" s="293">
        <f t="shared" si="22"/>
        <v>3698</v>
      </c>
      <c r="O32" s="293">
        <f t="shared" ref="O32:W32" si="23">SUM(O30:O31)</f>
        <v>3701</v>
      </c>
      <c r="P32" s="297">
        <f t="shared" si="23"/>
        <v>3625</v>
      </c>
      <c r="Q32" s="296">
        <f>SUM(Q30:Q31)</f>
        <v>14063</v>
      </c>
      <c r="R32" s="299">
        <f t="shared" si="23"/>
        <v>4151</v>
      </c>
      <c r="S32" s="293">
        <f t="shared" si="23"/>
        <v>2831</v>
      </c>
      <c r="T32" s="293">
        <f t="shared" si="23"/>
        <v>4257</v>
      </c>
      <c r="U32" s="297">
        <f t="shared" si="23"/>
        <v>3320</v>
      </c>
      <c r="V32" s="296">
        <f>SUM(V30:V31)</f>
        <v>14559</v>
      </c>
      <c r="W32" s="299">
        <f t="shared" si="23"/>
        <v>4266</v>
      </c>
      <c r="X32" s="293">
        <f t="shared" ref="X32:AW32" si="24">SUM(X30:X31)</f>
        <v>3125</v>
      </c>
      <c r="Y32" s="293">
        <f t="shared" si="24"/>
        <v>4345</v>
      </c>
      <c r="Z32" s="293">
        <f t="shared" si="24"/>
        <v>4108</v>
      </c>
      <c r="AA32" s="296">
        <f t="shared" si="24"/>
        <v>15844</v>
      </c>
      <c r="AB32" s="299">
        <f t="shared" si="24"/>
        <v>4383</v>
      </c>
      <c r="AC32" s="293">
        <f t="shared" si="24"/>
        <v>3689</v>
      </c>
      <c r="AD32" s="293">
        <f t="shared" si="24"/>
        <v>5506</v>
      </c>
      <c r="AE32" s="293">
        <f t="shared" si="24"/>
        <v>4979</v>
      </c>
      <c r="AF32" s="296">
        <f>SUM(AF30:AF31)</f>
        <v>18557</v>
      </c>
      <c r="AG32" s="293">
        <f t="shared" si="24"/>
        <v>5941</v>
      </c>
      <c r="AH32" s="293">
        <f t="shared" si="24"/>
        <v>5878</v>
      </c>
      <c r="AI32" s="293">
        <f t="shared" si="24"/>
        <v>6105</v>
      </c>
      <c r="AJ32" s="293">
        <f t="shared" si="24"/>
        <v>6203</v>
      </c>
      <c r="AK32" s="296">
        <f>SUM(AK30:AK31)</f>
        <v>24127</v>
      </c>
      <c r="AL32" s="293">
        <f t="shared" si="24"/>
        <v>6869</v>
      </c>
      <c r="AM32" s="293">
        <f t="shared" si="24"/>
        <v>5796</v>
      </c>
      <c r="AN32" s="293">
        <f t="shared" si="24"/>
        <v>5902</v>
      </c>
      <c r="AO32" s="293">
        <f t="shared" si="24"/>
        <v>6397</v>
      </c>
      <c r="AP32" s="296">
        <f>SUM(AP30:AP31)</f>
        <v>24964</v>
      </c>
      <c r="AQ32" s="293">
        <f t="shared" si="24"/>
        <v>5798</v>
      </c>
      <c r="AR32" s="293">
        <f t="shared" si="24"/>
        <v>5294</v>
      </c>
      <c r="AS32" s="293">
        <f t="shared" si="24"/>
        <v>5312</v>
      </c>
      <c r="AT32" s="293">
        <f t="shared" si="24"/>
        <v>6618</v>
      </c>
      <c r="AU32" s="296">
        <f>SUM(AU30:AU31)</f>
        <v>23022</v>
      </c>
      <c r="AV32" s="293">
        <f t="shared" si="24"/>
        <v>6556</v>
      </c>
      <c r="AW32" s="293">
        <f t="shared" si="24"/>
        <v>6028</v>
      </c>
      <c r="AX32" s="293">
        <f t="shared" ref="AX32:BC32" si="25">SUM(AX30:AX31)</f>
        <v>5896</v>
      </c>
      <c r="AY32" s="293">
        <f t="shared" si="25"/>
        <v>7586</v>
      </c>
      <c r="AZ32" s="296">
        <f t="shared" si="25"/>
        <v>26066</v>
      </c>
      <c r="BA32" s="293">
        <f t="shared" si="25"/>
        <v>9610</v>
      </c>
      <c r="BB32" s="293">
        <f t="shared" si="25"/>
        <v>7523</v>
      </c>
      <c r="BC32" s="293">
        <f t="shared" si="25"/>
        <v>11193</v>
      </c>
      <c r="BD32" s="293">
        <f t="shared" ref="BD32:BK32" si="26">SUM(BD30:BD31)</f>
        <v>8460</v>
      </c>
      <c r="BE32" s="296">
        <f t="shared" si="26"/>
        <v>36786</v>
      </c>
      <c r="BF32" s="293">
        <f t="shared" si="26"/>
        <v>8398</v>
      </c>
      <c r="BG32" s="293">
        <f t="shared" si="26"/>
        <v>10161</v>
      </c>
      <c r="BH32" s="293">
        <f t="shared" si="26"/>
        <v>8598</v>
      </c>
      <c r="BI32" s="293">
        <f t="shared" si="26"/>
        <v>8668</v>
      </c>
      <c r="BJ32" s="296">
        <f t="shared" si="26"/>
        <v>35824</v>
      </c>
      <c r="BK32" s="293">
        <f t="shared" si="26"/>
        <v>9827</v>
      </c>
      <c r="BL32" s="293">
        <f>SUM(BL30:BL31)</f>
        <v>9707</v>
      </c>
      <c r="BM32" s="293"/>
      <c r="BN32" s="293"/>
      <c r="BO32" s="296">
        <f>SUM(BO30:BO31)</f>
        <v>19534</v>
      </c>
    </row>
    <row r="33" spans="2:67" ht="13">
      <c r="B33" s="175"/>
      <c r="C33" s="293"/>
      <c r="D33" s="293"/>
      <c r="E33" s="293"/>
      <c r="F33" s="297"/>
      <c r="G33" s="300"/>
      <c r="H33" s="293"/>
      <c r="I33" s="293"/>
      <c r="J33" s="293"/>
      <c r="K33" s="297"/>
      <c r="L33" s="300"/>
      <c r="M33" s="301"/>
      <c r="N33" s="293"/>
      <c r="O33" s="89"/>
      <c r="P33" s="90"/>
      <c r="Q33" s="207"/>
      <c r="R33" s="227"/>
      <c r="S33" s="89"/>
      <c r="T33" s="89"/>
      <c r="U33" s="90"/>
      <c r="V33" s="207"/>
      <c r="W33" s="89"/>
      <c r="X33" s="89"/>
      <c r="Y33" s="89"/>
      <c r="Z33" s="90"/>
      <c r="AA33" s="207"/>
      <c r="AB33" s="89"/>
      <c r="AC33" s="89"/>
      <c r="AD33" s="89"/>
      <c r="AE33" s="90"/>
      <c r="AF33" s="207"/>
      <c r="AG33" s="89"/>
      <c r="AH33" s="89"/>
      <c r="AI33" s="89"/>
      <c r="AJ33" s="90"/>
      <c r="AK33" s="207"/>
      <c r="AL33" s="89"/>
      <c r="AM33" s="89"/>
      <c r="AN33" s="89"/>
      <c r="AO33" s="90"/>
      <c r="AP33" s="207"/>
      <c r="AQ33" s="89"/>
      <c r="AR33" s="89"/>
      <c r="AS33" s="89"/>
      <c r="AT33" s="90"/>
      <c r="AU33" s="207"/>
      <c r="AV33" s="89"/>
      <c r="AW33" s="89"/>
      <c r="AX33" s="89"/>
      <c r="AY33" s="90"/>
      <c r="AZ33" s="207"/>
      <c r="BA33" s="89"/>
      <c r="BB33" s="89"/>
      <c r="BC33" s="89"/>
      <c r="BD33" s="90"/>
      <c r="BE33" s="207"/>
      <c r="BF33" s="89"/>
      <c r="BG33" s="89"/>
      <c r="BH33" s="89"/>
      <c r="BI33" s="90"/>
      <c r="BJ33" s="207"/>
      <c r="BK33" s="89"/>
      <c r="BL33" s="89"/>
      <c r="BM33" s="89"/>
      <c r="BN33" s="90"/>
      <c r="BO33" s="207"/>
    </row>
    <row r="34" spans="2:67" ht="13">
      <c r="B34" s="87" t="s">
        <v>189</v>
      </c>
      <c r="C34" s="238"/>
      <c r="D34" s="238"/>
      <c r="E34" s="238"/>
      <c r="F34" s="173"/>
      <c r="G34" s="442"/>
      <c r="H34" s="444"/>
      <c r="I34" s="244"/>
      <c r="J34" s="244"/>
      <c r="K34" s="165"/>
      <c r="L34" s="442"/>
      <c r="M34" s="244"/>
      <c r="N34" s="89"/>
      <c r="O34" s="89"/>
      <c r="P34" s="90"/>
      <c r="Q34" s="445"/>
      <c r="R34" s="227"/>
      <c r="S34" s="89"/>
      <c r="T34" s="89"/>
      <c r="U34" s="90"/>
      <c r="V34" s="445"/>
      <c r="W34" s="227"/>
      <c r="X34" s="89"/>
      <c r="Y34" s="89"/>
      <c r="Z34" s="90"/>
      <c r="AA34" s="445"/>
      <c r="AB34" s="227"/>
      <c r="AC34" s="19"/>
      <c r="AD34" s="19"/>
      <c r="AE34" s="90"/>
      <c r="AF34" s="207"/>
      <c r="AG34" s="227"/>
      <c r="AH34" s="19"/>
      <c r="AI34" s="19"/>
      <c r="AJ34" s="90"/>
      <c r="AK34" s="207"/>
      <c r="AL34" s="19"/>
      <c r="AM34" s="19"/>
      <c r="AN34" s="19"/>
      <c r="AO34" s="90"/>
      <c r="AP34" s="207"/>
      <c r="AQ34" s="19"/>
      <c r="AR34" s="19"/>
      <c r="AS34" s="19"/>
      <c r="AT34" s="90"/>
      <c r="AU34" s="207"/>
      <c r="AV34" s="19"/>
      <c r="AW34" s="19"/>
      <c r="AX34" s="19"/>
      <c r="AY34" s="90"/>
      <c r="AZ34" s="207"/>
      <c r="BA34" s="19"/>
      <c r="BB34" s="19"/>
      <c r="BC34" s="19"/>
      <c r="BD34" s="90"/>
      <c r="BE34" s="207"/>
      <c r="BF34" s="19"/>
      <c r="BG34" s="19"/>
      <c r="BH34" s="19"/>
      <c r="BI34" s="90"/>
      <c r="BJ34" s="207"/>
      <c r="BK34" s="19"/>
      <c r="BL34" s="19"/>
      <c r="BM34" s="19"/>
      <c r="BN34" s="90"/>
      <c r="BO34" s="207"/>
    </row>
    <row r="35" spans="2:67" s="180" customFormat="1" ht="27" customHeight="1">
      <c r="B35" s="177" t="s">
        <v>490</v>
      </c>
      <c r="C35" s="240">
        <v>-444</v>
      </c>
      <c r="D35" s="240">
        <f>-1013-C35</f>
        <v>-569</v>
      </c>
      <c r="E35" s="240">
        <f>-1592-C35-D35</f>
        <v>-579</v>
      </c>
      <c r="F35" s="168">
        <f>-2247-C35-D35-E35</f>
        <v>-655</v>
      </c>
      <c r="G35" s="442">
        <f t="shared" ref="G35:G57" si="27">SUM(C35:F35)</f>
        <v>-2247</v>
      </c>
      <c r="H35" s="444">
        <v>-669</v>
      </c>
      <c r="I35" s="240">
        <f>-1268-H35</f>
        <v>-599</v>
      </c>
      <c r="J35" s="240">
        <f>-1943-H35-I35</f>
        <v>-675</v>
      </c>
      <c r="K35" s="168">
        <f>-2723-H35-I35-J35</f>
        <v>-780</v>
      </c>
      <c r="L35" s="442">
        <f t="shared" ref="L35:L57" si="28">SUM(H35:K35)</f>
        <v>-2723</v>
      </c>
      <c r="M35" s="239">
        <v>-859</v>
      </c>
      <c r="N35" s="246">
        <f>-1469-M35</f>
        <v>-610</v>
      </c>
      <c r="O35" s="246">
        <f>-2097-M35-N35</f>
        <v>-628</v>
      </c>
      <c r="P35" s="170">
        <v>-663</v>
      </c>
      <c r="Q35" s="445">
        <f t="shared" ref="Q35:Q57" si="29">SUM(M35:P35)</f>
        <v>-2760</v>
      </c>
      <c r="R35" s="248">
        <v>-553</v>
      </c>
      <c r="S35" s="248">
        <v>-406</v>
      </c>
      <c r="T35" s="246">
        <f>-1374-R35-S35</f>
        <v>-415</v>
      </c>
      <c r="U35" s="170">
        <f>-1998-T35-S35-R35</f>
        <v>-624</v>
      </c>
      <c r="V35" s="445">
        <f t="shared" ref="V35:V57" si="30">SUM(R35:U35)</f>
        <v>-1998</v>
      </c>
      <c r="W35" s="246">
        <v>-537</v>
      </c>
      <c r="X35" s="246">
        <f>-1091-W35</f>
        <v>-554</v>
      </c>
      <c r="Y35" s="246">
        <f>-1631-X35-W35</f>
        <v>-540</v>
      </c>
      <c r="Z35" s="170">
        <f>-2445-Y35-X35-W35</f>
        <v>-814</v>
      </c>
      <c r="AA35" s="445">
        <f t="shared" ref="AA35:AA60" si="31">SUM(W35:Z35)</f>
        <v>-2445</v>
      </c>
      <c r="AB35" s="246">
        <v>-1004</v>
      </c>
      <c r="AC35" s="246">
        <v>-887</v>
      </c>
      <c r="AD35" s="246">
        <v>-747</v>
      </c>
      <c r="AE35" s="170">
        <v>-669</v>
      </c>
      <c r="AF35" s="207">
        <f t="shared" ref="AF35:AF51" si="32">SUM(AB35:AE35)</f>
        <v>-3307</v>
      </c>
      <c r="AG35" s="246">
        <v>-417</v>
      </c>
      <c r="AH35" s="246">
        <f>-1306-AG35</f>
        <v>-889</v>
      </c>
      <c r="AI35" s="246">
        <f>-1728-AH35-AG35</f>
        <v>-422</v>
      </c>
      <c r="AJ35" s="170">
        <f>-2107-AI35-AH35-AG35</f>
        <v>-379</v>
      </c>
      <c r="AK35" s="207">
        <f t="shared" ref="AK35:AK51" si="33">SUM(AG35:AJ35)</f>
        <v>-2107</v>
      </c>
      <c r="AL35" s="246">
        <v>-506</v>
      </c>
      <c r="AM35" s="246">
        <f>-1030-AL35</f>
        <v>-524</v>
      </c>
      <c r="AN35" s="246">
        <f>-1533-AM35-AL35</f>
        <v>-503</v>
      </c>
      <c r="AO35" s="170">
        <f>-2161-AN35-AM35-AL35</f>
        <v>-628</v>
      </c>
      <c r="AP35" s="207">
        <f t="shared" ref="AP35:AP60" si="34">SUM(AL35:AO35)</f>
        <v>-2161</v>
      </c>
      <c r="AQ35" s="246">
        <v>-692</v>
      </c>
      <c r="AR35" s="246">
        <f>-1234-AQ35</f>
        <v>-542</v>
      </c>
      <c r="AS35" s="246">
        <f>-1805-AR35-AQ35</f>
        <v>-571</v>
      </c>
      <c r="AT35" s="170">
        <f>-2579-AS35-AR35-AQ35</f>
        <v>-774</v>
      </c>
      <c r="AU35" s="207">
        <f t="shared" ref="AU35:AU60" si="35">SUM(AQ35:AT35)</f>
        <v>-2579</v>
      </c>
      <c r="AV35" s="246">
        <v>-807</v>
      </c>
      <c r="AW35" s="246">
        <f>-1299-AV35</f>
        <v>-492</v>
      </c>
      <c r="AX35" s="239">
        <f>-1647-AW35-AV35</f>
        <v>-348</v>
      </c>
      <c r="AY35" s="170">
        <f>-2201-SUM(AV35:AX35)</f>
        <v>-554</v>
      </c>
      <c r="AZ35" s="207">
        <f t="shared" ref="AZ35:AZ60" si="36">SUM(AV35:AY35)</f>
        <v>-2201</v>
      </c>
      <c r="BA35" s="246">
        <v>-455</v>
      </c>
      <c r="BB35" s="246">
        <f>-968-BA35</f>
        <v>-513</v>
      </c>
      <c r="BC35" s="239">
        <f>-1514-BB35-BA35</f>
        <v>-546</v>
      </c>
      <c r="BD35" s="170">
        <f>-2237-SUM(BA35:BC35)</f>
        <v>-723</v>
      </c>
      <c r="BE35" s="207">
        <f t="shared" ref="BE35:BE54" si="37">SUM(BA35:BD35)</f>
        <v>-2237</v>
      </c>
      <c r="BF35" s="246">
        <v>-865</v>
      </c>
      <c r="BG35" s="246">
        <f>-1352-BF35</f>
        <v>-487</v>
      </c>
      <c r="BH35" s="239">
        <f>-1771-BF35-BG35</f>
        <v>-419</v>
      </c>
      <c r="BI35" s="170">
        <f>-2727-BH35-BG35-BF35</f>
        <v>-956</v>
      </c>
      <c r="BJ35" s="207">
        <f t="shared" ref="BJ35:BJ53" si="38">SUM(BF35:BI35)</f>
        <v>-2727</v>
      </c>
      <c r="BK35" s="246">
        <v>-776</v>
      </c>
      <c r="BL35" s="246">
        <f>BO35-BK35</f>
        <v>-809</v>
      </c>
      <c r="BM35" s="239"/>
      <c r="BN35" s="170"/>
      <c r="BO35" s="207">
        <v>-1585</v>
      </c>
    </row>
    <row r="36" spans="2:67" ht="13">
      <c r="B36" s="458" t="s">
        <v>190</v>
      </c>
      <c r="C36" s="459">
        <v>-34</v>
      </c>
      <c r="D36" s="459">
        <f>-32-C36</f>
        <v>2</v>
      </c>
      <c r="E36" s="459">
        <f>3-C36-D36</f>
        <v>35</v>
      </c>
      <c r="F36" s="460">
        <f>-8-C36-D36-E36</f>
        <v>-11</v>
      </c>
      <c r="G36" s="442">
        <f t="shared" si="27"/>
        <v>-8</v>
      </c>
      <c r="H36" s="444">
        <v>-1</v>
      </c>
      <c r="I36" s="461">
        <f>-6-H36</f>
        <v>-5</v>
      </c>
      <c r="J36" s="461">
        <f>-47-H36-I36</f>
        <v>-41</v>
      </c>
      <c r="K36" s="462">
        <f>-75-H36-I36-J36</f>
        <v>-28</v>
      </c>
      <c r="L36" s="442">
        <f t="shared" si="28"/>
        <v>-75</v>
      </c>
      <c r="M36" s="19">
        <v>20</v>
      </c>
      <c r="N36" s="89">
        <f>38-M36</f>
        <v>18</v>
      </c>
      <c r="O36" s="89">
        <f>55-M36-N36</f>
        <v>17</v>
      </c>
      <c r="P36" s="90">
        <v>-28</v>
      </c>
      <c r="Q36" s="445">
        <f t="shared" si="29"/>
        <v>27</v>
      </c>
      <c r="R36" s="89">
        <v>23</v>
      </c>
      <c r="S36" s="89">
        <v>-7</v>
      </c>
      <c r="T36" s="89">
        <f>26-R36-S36</f>
        <v>10</v>
      </c>
      <c r="U36" s="90">
        <f>28-T36-S36-R36</f>
        <v>2</v>
      </c>
      <c r="V36" s="445">
        <f t="shared" si="30"/>
        <v>28</v>
      </c>
      <c r="W36" s="93">
        <v>0</v>
      </c>
      <c r="X36" s="89">
        <f>9-W36</f>
        <v>9</v>
      </c>
      <c r="Y36" s="89">
        <f>17-X36-W36</f>
        <v>8</v>
      </c>
      <c r="Z36" s="90">
        <f>14-Y36-X36-W36</f>
        <v>-3</v>
      </c>
      <c r="AA36" s="445">
        <f t="shared" si="31"/>
        <v>14</v>
      </c>
      <c r="AB36" s="89">
        <v>16</v>
      </c>
      <c r="AC36" s="89">
        <v>-11</v>
      </c>
      <c r="AD36" s="89">
        <v>-5</v>
      </c>
      <c r="AE36" s="90">
        <v>0</v>
      </c>
      <c r="AF36" s="207">
        <f t="shared" si="32"/>
        <v>0</v>
      </c>
      <c r="AG36" s="89">
        <v>0</v>
      </c>
      <c r="AH36" s="89">
        <f>0-AG36</f>
        <v>0</v>
      </c>
      <c r="AI36" s="89">
        <v>0</v>
      </c>
      <c r="AJ36" s="90">
        <v>0</v>
      </c>
      <c r="AK36" s="207">
        <f t="shared" si="33"/>
        <v>0</v>
      </c>
      <c r="AL36" s="89">
        <v>0</v>
      </c>
      <c r="AM36" s="89">
        <v>0</v>
      </c>
      <c r="AN36" s="89">
        <v>0</v>
      </c>
      <c r="AO36" s="90">
        <v>0</v>
      </c>
      <c r="AP36" s="207">
        <f t="shared" si="34"/>
        <v>0</v>
      </c>
      <c r="AQ36" s="89">
        <v>0</v>
      </c>
      <c r="AR36" s="89">
        <v>0</v>
      </c>
      <c r="AS36" s="89">
        <v>0</v>
      </c>
      <c r="AT36" s="90">
        <v>0</v>
      </c>
      <c r="AU36" s="207">
        <f t="shared" si="35"/>
        <v>0</v>
      </c>
      <c r="AV36" s="89">
        <v>0</v>
      </c>
      <c r="AW36" s="89">
        <v>0</v>
      </c>
      <c r="AX36" s="89">
        <v>0</v>
      </c>
      <c r="AY36" s="90">
        <v>0</v>
      </c>
      <c r="AZ36" s="207">
        <f t="shared" si="36"/>
        <v>0</v>
      </c>
      <c r="BA36" s="89">
        <v>0</v>
      </c>
      <c r="BB36" s="89">
        <v>0</v>
      </c>
      <c r="BC36" s="89">
        <v>0</v>
      </c>
      <c r="BD36" s="90">
        <v>0</v>
      </c>
      <c r="BE36" s="207">
        <f t="shared" si="37"/>
        <v>0</v>
      </c>
      <c r="BF36" s="89">
        <v>0</v>
      </c>
      <c r="BG36" s="89">
        <v>0</v>
      </c>
      <c r="BH36" s="89">
        <v>0</v>
      </c>
      <c r="BI36" s="90">
        <v>0</v>
      </c>
      <c r="BJ36" s="207">
        <f t="shared" si="38"/>
        <v>0</v>
      </c>
      <c r="BK36" s="89">
        <v>0</v>
      </c>
      <c r="BL36" s="89">
        <f t="shared" ref="BL36" si="39">BO36-BK36</f>
        <v>0</v>
      </c>
      <c r="BM36" s="89"/>
      <c r="BN36" s="90"/>
      <c r="BO36" s="207">
        <v>0</v>
      </c>
    </row>
    <row r="37" spans="2:67" ht="13">
      <c r="B37" s="458" t="s">
        <v>496</v>
      </c>
      <c r="C37" s="459">
        <v>-27</v>
      </c>
      <c r="D37" s="459">
        <f>6-C37</f>
        <v>33</v>
      </c>
      <c r="E37" s="459">
        <f>-9-C37-D37</f>
        <v>-15</v>
      </c>
      <c r="F37" s="460">
        <f>-135-C37-D37-E37</f>
        <v>-126</v>
      </c>
      <c r="G37" s="442">
        <f t="shared" si="27"/>
        <v>-135</v>
      </c>
      <c r="H37" s="444">
        <v>-19</v>
      </c>
      <c r="I37" s="461">
        <f>-24-H37</f>
        <v>-5</v>
      </c>
      <c r="J37" s="461">
        <f>-46-H37-I37</f>
        <v>-22</v>
      </c>
      <c r="K37" s="462">
        <f>-142-H37-I37-J37</f>
        <v>-96</v>
      </c>
      <c r="L37" s="442">
        <f t="shared" si="28"/>
        <v>-142</v>
      </c>
      <c r="M37" s="19">
        <v>-60</v>
      </c>
      <c r="N37" s="89">
        <f>-85-M37</f>
        <v>-25</v>
      </c>
      <c r="O37" s="89">
        <f>-147-M37-N37</f>
        <v>-62</v>
      </c>
      <c r="P37" s="90">
        <v>-17</v>
      </c>
      <c r="Q37" s="445">
        <f t="shared" si="29"/>
        <v>-164</v>
      </c>
      <c r="R37" s="89">
        <v>-9</v>
      </c>
      <c r="S37" s="89">
        <v>-11</v>
      </c>
      <c r="T37" s="89">
        <f>-32-R37-S37</f>
        <v>-12</v>
      </c>
      <c r="U37" s="90">
        <f>-130-T37-S37-R37</f>
        <v>-98</v>
      </c>
      <c r="V37" s="445">
        <f t="shared" si="30"/>
        <v>-130</v>
      </c>
      <c r="W37" s="89">
        <v>22</v>
      </c>
      <c r="X37" s="89">
        <f>-11-W37</f>
        <v>-33</v>
      </c>
      <c r="Y37" s="89">
        <f>1-X37-W37</f>
        <v>12</v>
      </c>
      <c r="Z37" s="90">
        <f>-24-Y37-X37-W37</f>
        <v>-25</v>
      </c>
      <c r="AA37" s="445">
        <f t="shared" si="31"/>
        <v>-24</v>
      </c>
      <c r="AB37" s="89">
        <v>34</v>
      </c>
      <c r="AC37" s="89">
        <v>-41</v>
      </c>
      <c r="AD37" s="89">
        <v>-46</v>
      </c>
      <c r="AE37" s="90">
        <v>-55</v>
      </c>
      <c r="AF37" s="207">
        <f t="shared" si="32"/>
        <v>-108</v>
      </c>
      <c r="AG37" s="89">
        <v>-121</v>
      </c>
      <c r="AH37" s="89">
        <f>-133-AG37</f>
        <v>-12</v>
      </c>
      <c r="AI37" s="89">
        <f>-136-AH37-AG37</f>
        <v>-3</v>
      </c>
      <c r="AJ37" s="90">
        <f>-207-AI37-AH37-AG37</f>
        <v>-71</v>
      </c>
      <c r="AK37" s="207">
        <f t="shared" si="33"/>
        <v>-207</v>
      </c>
      <c r="AL37" s="89">
        <v>-296</v>
      </c>
      <c r="AM37" s="89">
        <f>-516-AL37</f>
        <v>-220</v>
      </c>
      <c r="AN37" s="89">
        <f>-786-AM37-AL37</f>
        <v>-270</v>
      </c>
      <c r="AO37" s="90">
        <f>-906-AN37-AM37-AL37</f>
        <v>-120</v>
      </c>
      <c r="AP37" s="207">
        <f t="shared" si="34"/>
        <v>-906</v>
      </c>
      <c r="AQ37" s="89">
        <v>-216</v>
      </c>
      <c r="AR37" s="89">
        <f>-564-AQ37</f>
        <v>-348</v>
      </c>
      <c r="AS37" s="89">
        <f>-904-AR37-AQ37</f>
        <v>-340</v>
      </c>
      <c r="AT37" s="90">
        <f>-996-AS37-AR37-AQ37</f>
        <v>-92</v>
      </c>
      <c r="AU37" s="207">
        <f t="shared" si="35"/>
        <v>-996</v>
      </c>
      <c r="AV37" s="89">
        <v>-444</v>
      </c>
      <c r="AW37" s="89">
        <f>-636-AV37</f>
        <v>-192</v>
      </c>
      <c r="AX37" s="89">
        <f>-737-SUM(AV37:AW37)</f>
        <v>-101</v>
      </c>
      <c r="AY37" s="90">
        <f>-847-SUM(AV37:AX37)</f>
        <v>-110</v>
      </c>
      <c r="AZ37" s="207">
        <f t="shared" si="36"/>
        <v>-847</v>
      </c>
      <c r="BA37" s="89">
        <v>-335</v>
      </c>
      <c r="BB37" s="89">
        <f>-579-BA37</f>
        <v>-244</v>
      </c>
      <c r="BC37" s="89">
        <f>-1075-BB37-BA37</f>
        <v>-496</v>
      </c>
      <c r="BD37" s="90">
        <f>-1225-SUM(BA37:BC37)</f>
        <v>-150</v>
      </c>
      <c r="BE37" s="207">
        <f t="shared" si="37"/>
        <v>-1225</v>
      </c>
      <c r="BF37" s="89">
        <v>-395</v>
      </c>
      <c r="BG37" s="89">
        <f>-683-BF37+1</f>
        <v>-287</v>
      </c>
      <c r="BH37" s="89">
        <f>-828-BF37-BG37+1</f>
        <v>-145</v>
      </c>
      <c r="BI37" s="90">
        <f>-944-BH37-BG37-BF37</f>
        <v>-117</v>
      </c>
      <c r="BJ37" s="207">
        <f>SUM(BF37:BI37)</f>
        <v>-944</v>
      </c>
      <c r="BK37" s="89">
        <v>-464</v>
      </c>
      <c r="BL37" s="89">
        <f t="shared" ref="BL37:BL60" si="40">BO37-BK37</f>
        <v>-311</v>
      </c>
      <c r="BM37" s="89"/>
      <c r="BN37" s="90"/>
      <c r="BO37" s="207">
        <v>-775</v>
      </c>
    </row>
    <row r="38" spans="2:67" ht="13">
      <c r="B38" s="458" t="s">
        <v>491</v>
      </c>
      <c r="C38" s="459"/>
      <c r="D38" s="459"/>
      <c r="E38" s="459"/>
      <c r="F38" s="460"/>
      <c r="G38" s="442"/>
      <c r="H38" s="444"/>
      <c r="I38" s="461"/>
      <c r="J38" s="461"/>
      <c r="K38" s="462"/>
      <c r="L38" s="442"/>
      <c r="M38" s="19"/>
      <c r="N38" s="89"/>
      <c r="O38" s="89"/>
      <c r="P38" s="90"/>
      <c r="Q38" s="445"/>
      <c r="R38" s="89"/>
      <c r="S38" s="89"/>
      <c r="T38" s="89"/>
      <c r="U38" s="90"/>
      <c r="V38" s="445"/>
      <c r="W38" s="89"/>
      <c r="X38" s="89"/>
      <c r="Y38" s="89"/>
      <c r="Z38" s="90"/>
      <c r="AA38" s="445"/>
      <c r="AB38" s="89"/>
      <c r="AC38" s="89"/>
      <c r="AD38" s="89"/>
      <c r="AE38" s="90"/>
      <c r="AF38" s="207"/>
      <c r="AG38" s="89"/>
      <c r="AH38" s="89"/>
      <c r="AI38" s="89"/>
      <c r="AJ38" s="90"/>
      <c r="AK38" s="207"/>
      <c r="AL38" s="89">
        <v>130</v>
      </c>
      <c r="AM38" s="89">
        <f>343-AL38</f>
        <v>213</v>
      </c>
      <c r="AN38" s="89">
        <f>629-AM38-AL38</f>
        <v>286</v>
      </c>
      <c r="AO38" s="90">
        <f>753-AN38-AM38-AL38</f>
        <v>124</v>
      </c>
      <c r="AP38" s="207">
        <f t="shared" si="34"/>
        <v>753</v>
      </c>
      <c r="AQ38" s="89">
        <v>22</v>
      </c>
      <c r="AR38" s="89">
        <f>384-AQ38</f>
        <v>362</v>
      </c>
      <c r="AS38" s="89">
        <f>671-AR38-AQ38</f>
        <v>287</v>
      </c>
      <c r="AT38" s="90">
        <f>762-AS38-AR38-AQ38</f>
        <v>91</v>
      </c>
      <c r="AU38" s="207">
        <f t="shared" si="35"/>
        <v>762</v>
      </c>
      <c r="AV38" s="89">
        <v>252</v>
      </c>
      <c r="AW38" s="89">
        <f>439-AV38</f>
        <v>187</v>
      </c>
      <c r="AX38" s="89">
        <f>628-SUM(AV38:AW38)</f>
        <v>189</v>
      </c>
      <c r="AY38" s="90">
        <f>710-SUM(AV38:AX38)</f>
        <v>82</v>
      </c>
      <c r="AZ38" s="207">
        <f t="shared" si="36"/>
        <v>710</v>
      </c>
      <c r="BA38" s="89">
        <v>120</v>
      </c>
      <c r="BB38" s="89">
        <f>357-BA38</f>
        <v>237</v>
      </c>
      <c r="BC38" s="89">
        <f>688-BB38-BA38</f>
        <v>331</v>
      </c>
      <c r="BD38" s="90">
        <f>776-SUM(BA38:BC38)</f>
        <v>88</v>
      </c>
      <c r="BE38" s="207">
        <f t="shared" si="37"/>
        <v>776</v>
      </c>
      <c r="BF38" s="89">
        <v>127</v>
      </c>
      <c r="BG38" s="89">
        <f>392-BF38+1</f>
        <v>266</v>
      </c>
      <c r="BH38" s="89">
        <f>573-BF38-BG38+1</f>
        <v>181</v>
      </c>
      <c r="BI38" s="90">
        <f>725-BH38-BG38-BF38</f>
        <v>151</v>
      </c>
      <c r="BJ38" s="207">
        <f>SUM(BF38:BI38)</f>
        <v>725</v>
      </c>
      <c r="BK38" s="89">
        <v>204</v>
      </c>
      <c r="BL38" s="89">
        <f t="shared" si="40"/>
        <v>311</v>
      </c>
      <c r="BM38" s="89"/>
      <c r="BN38" s="90"/>
      <c r="BO38" s="207">
        <v>515</v>
      </c>
    </row>
    <row r="39" spans="2:67" ht="13">
      <c r="B39" s="452" t="s">
        <v>191</v>
      </c>
      <c r="C39" s="453">
        <v>70</v>
      </c>
      <c r="D39" s="453">
        <f>178-C39</f>
        <v>108</v>
      </c>
      <c r="E39" s="453">
        <f>284-C39-D39</f>
        <v>106</v>
      </c>
      <c r="F39" s="454">
        <f>327-C39-D39-E39</f>
        <v>43</v>
      </c>
      <c r="G39" s="442">
        <f t="shared" si="27"/>
        <v>327</v>
      </c>
      <c r="H39" s="444">
        <v>21</v>
      </c>
      <c r="I39" s="453">
        <f>86-H39</f>
        <v>65</v>
      </c>
      <c r="J39" s="453">
        <f>146-H39-I39</f>
        <v>60</v>
      </c>
      <c r="K39" s="454">
        <f>168-H39-I39-J39</f>
        <v>22</v>
      </c>
      <c r="L39" s="442">
        <f t="shared" si="28"/>
        <v>168</v>
      </c>
      <c r="M39" s="295">
        <v>28</v>
      </c>
      <c r="N39" s="89">
        <f>79-M39</f>
        <v>51</v>
      </c>
      <c r="O39" s="89">
        <f>140-M39-N39</f>
        <v>61</v>
      </c>
      <c r="P39" s="90">
        <v>81</v>
      </c>
      <c r="Q39" s="445">
        <f t="shared" si="29"/>
        <v>221</v>
      </c>
      <c r="R39" s="89">
        <v>86</v>
      </c>
      <c r="S39" s="89">
        <v>136</v>
      </c>
      <c r="T39" s="89">
        <f>325-R39-S39</f>
        <v>103</v>
      </c>
      <c r="U39" s="90">
        <f>427-T39-S39-R39</f>
        <v>102</v>
      </c>
      <c r="V39" s="445">
        <f t="shared" si="30"/>
        <v>427</v>
      </c>
      <c r="W39" s="89">
        <v>186</v>
      </c>
      <c r="X39" s="89">
        <f>320-W39</f>
        <v>134</v>
      </c>
      <c r="Y39" s="89">
        <f>445-X39-W39</f>
        <v>125</v>
      </c>
      <c r="Z39" s="90">
        <f>554-Y39-X39-W39</f>
        <v>109</v>
      </c>
      <c r="AA39" s="445">
        <f t="shared" si="31"/>
        <v>554</v>
      </c>
      <c r="AB39" s="89">
        <v>75</v>
      </c>
      <c r="AC39" s="89">
        <v>125</v>
      </c>
      <c r="AD39" s="89">
        <v>106</v>
      </c>
      <c r="AE39" s="90">
        <v>69</v>
      </c>
      <c r="AF39" s="207">
        <f t="shared" si="32"/>
        <v>375</v>
      </c>
      <c r="AG39" s="89">
        <v>105</v>
      </c>
      <c r="AH39" s="89">
        <f>258-AG39</f>
        <v>153</v>
      </c>
      <c r="AI39" s="89">
        <f>436-AH39-AG39</f>
        <v>178</v>
      </c>
      <c r="AJ39" s="90">
        <f>515-AI39-AH39-AG39</f>
        <v>79</v>
      </c>
      <c r="AK39" s="207">
        <f t="shared" si="33"/>
        <v>515</v>
      </c>
      <c r="AL39" s="89">
        <v>177</v>
      </c>
      <c r="AM39" s="89">
        <f>421-AL39</f>
        <v>244</v>
      </c>
      <c r="AN39" s="89">
        <f>629-AM39-AL39</f>
        <v>208</v>
      </c>
      <c r="AO39" s="90">
        <f>819-AN39-AM39-AL39</f>
        <v>190</v>
      </c>
      <c r="AP39" s="207">
        <f t="shared" si="34"/>
        <v>819</v>
      </c>
      <c r="AQ39" s="89">
        <v>274</v>
      </c>
      <c r="AR39" s="89">
        <f>514-AQ39</f>
        <v>240</v>
      </c>
      <c r="AS39" s="89">
        <f>777-AR39-AQ39</f>
        <v>263</v>
      </c>
      <c r="AT39" s="90">
        <f>970-AS39-AR39-AQ39</f>
        <v>193</v>
      </c>
      <c r="AU39" s="207">
        <f t="shared" si="35"/>
        <v>970</v>
      </c>
      <c r="AV39" s="89">
        <v>275</v>
      </c>
      <c r="AW39" s="89">
        <f>495-AV39</f>
        <v>220</v>
      </c>
      <c r="AX39" s="89">
        <f>750-SUM(AV39:AW39)</f>
        <v>255</v>
      </c>
      <c r="AY39" s="90">
        <f>912-SUM(AV39:AX39)</f>
        <v>162</v>
      </c>
      <c r="AZ39" s="207">
        <f t="shared" si="36"/>
        <v>912</v>
      </c>
      <c r="BA39" s="89">
        <v>299</v>
      </c>
      <c r="BB39" s="89">
        <f>542-BA39</f>
        <v>243</v>
      </c>
      <c r="BC39" s="89">
        <f>773-BB39-BA39</f>
        <v>231</v>
      </c>
      <c r="BD39" s="90">
        <f>948-SUM(BA39:BC39)</f>
        <v>175</v>
      </c>
      <c r="BE39" s="207">
        <f>SUM(BA39:BD39)</f>
        <v>948</v>
      </c>
      <c r="BF39" s="89">
        <v>311</v>
      </c>
      <c r="BG39" s="89">
        <f>562-BF39</f>
        <v>251</v>
      </c>
      <c r="BH39" s="89">
        <f>749-BF39-BG39</f>
        <v>187</v>
      </c>
      <c r="BI39" s="90">
        <f>875-BH39-BG39-BF39</f>
        <v>126</v>
      </c>
      <c r="BJ39" s="207">
        <f>SUM(BF39:BI39)</f>
        <v>875</v>
      </c>
      <c r="BK39" s="89">
        <v>134</v>
      </c>
      <c r="BL39" s="89">
        <f t="shared" si="40"/>
        <v>173</v>
      </c>
      <c r="BM39" s="89"/>
      <c r="BN39" s="90"/>
      <c r="BO39" s="207">
        <v>307</v>
      </c>
    </row>
    <row r="40" spans="2:67" ht="13">
      <c r="B40" s="176" t="s">
        <v>127</v>
      </c>
      <c r="C40" s="239">
        <v>0</v>
      </c>
      <c r="D40" s="239">
        <f>0-C40</f>
        <v>0</v>
      </c>
      <c r="E40" s="239">
        <f>0-C40-D40</f>
        <v>0</v>
      </c>
      <c r="F40" s="167">
        <f>-94-C40-D40-E40</f>
        <v>-94</v>
      </c>
      <c r="G40" s="182">
        <f t="shared" si="27"/>
        <v>-94</v>
      </c>
      <c r="H40" s="245">
        <v>0</v>
      </c>
      <c r="I40" s="245">
        <f>0-H40</f>
        <v>0</v>
      </c>
      <c r="J40" s="245">
        <f>0-H40-I40</f>
        <v>0</v>
      </c>
      <c r="K40" s="163">
        <f>0-H40-I40-J40</f>
        <v>0</v>
      </c>
      <c r="L40" s="182">
        <v>0</v>
      </c>
      <c r="M40" s="245">
        <v>0</v>
      </c>
      <c r="N40" s="245">
        <f>0-M40</f>
        <v>0</v>
      </c>
      <c r="O40" s="89">
        <f>0-M40-N40</f>
        <v>0</v>
      </c>
      <c r="P40" s="90">
        <v>0</v>
      </c>
      <c r="Q40" s="445">
        <f t="shared" si="29"/>
        <v>0</v>
      </c>
      <c r="R40" s="227">
        <v>0</v>
      </c>
      <c r="S40" s="19">
        <v>0</v>
      </c>
      <c r="T40" s="19">
        <v>0</v>
      </c>
      <c r="U40" s="29">
        <v>0</v>
      </c>
      <c r="V40" s="445">
        <f t="shared" si="30"/>
        <v>0</v>
      </c>
      <c r="W40" s="227">
        <v>0</v>
      </c>
      <c r="X40" s="19"/>
      <c r="Y40" s="19"/>
      <c r="Z40" s="29"/>
      <c r="AA40" s="445">
        <f t="shared" si="31"/>
        <v>0</v>
      </c>
      <c r="AB40" s="227">
        <v>0</v>
      </c>
      <c r="AC40" s="19">
        <v>0</v>
      </c>
      <c r="AD40" s="19">
        <v>0</v>
      </c>
      <c r="AE40" s="29">
        <v>0</v>
      </c>
      <c r="AF40" s="207">
        <f t="shared" si="32"/>
        <v>0</v>
      </c>
      <c r="AG40" s="227">
        <v>0</v>
      </c>
      <c r="AH40" s="19">
        <f>0-AG40</f>
        <v>0</v>
      </c>
      <c r="AI40" s="19">
        <v>0</v>
      </c>
      <c r="AJ40" s="29">
        <v>0</v>
      </c>
      <c r="AK40" s="207">
        <f t="shared" si="33"/>
        <v>0</v>
      </c>
      <c r="AL40" s="227">
        <v>0</v>
      </c>
      <c r="AM40" s="19">
        <v>0</v>
      </c>
      <c r="AN40" s="19">
        <v>0</v>
      </c>
      <c r="AO40" s="29">
        <v>0</v>
      </c>
      <c r="AP40" s="207">
        <f t="shared" si="34"/>
        <v>0</v>
      </c>
      <c r="AQ40" s="19">
        <v>0</v>
      </c>
      <c r="AR40" s="19">
        <v>0</v>
      </c>
      <c r="AS40" s="19">
        <v>0</v>
      </c>
      <c r="AT40" s="29">
        <v>0</v>
      </c>
      <c r="AU40" s="207">
        <f t="shared" si="35"/>
        <v>0</v>
      </c>
      <c r="AV40" s="19">
        <v>0</v>
      </c>
      <c r="AW40" s="19">
        <v>0</v>
      </c>
      <c r="AX40" s="19">
        <v>0</v>
      </c>
      <c r="AY40" s="29">
        <v>0</v>
      </c>
      <c r="AZ40" s="207">
        <f t="shared" si="36"/>
        <v>0</v>
      </c>
      <c r="BA40" s="19">
        <v>0</v>
      </c>
      <c r="BB40" s="19">
        <v>0</v>
      </c>
      <c r="BC40" s="19">
        <v>0</v>
      </c>
      <c r="BD40" s="19">
        <v>0</v>
      </c>
      <c r="BE40" s="207">
        <f t="shared" si="37"/>
        <v>0</v>
      </c>
      <c r="BF40" s="19">
        <v>0</v>
      </c>
      <c r="BG40" s="19">
        <v>0</v>
      </c>
      <c r="BH40" s="19">
        <v>0</v>
      </c>
      <c r="BI40" s="19">
        <v>0</v>
      </c>
      <c r="BJ40" s="207">
        <f t="shared" si="38"/>
        <v>0</v>
      </c>
      <c r="BK40" s="19">
        <v>0</v>
      </c>
      <c r="BL40" s="19">
        <f t="shared" si="40"/>
        <v>0</v>
      </c>
      <c r="BM40" s="19"/>
      <c r="BN40" s="19"/>
      <c r="BO40" s="207">
        <v>0</v>
      </c>
    </row>
    <row r="41" spans="2:67" ht="13">
      <c r="B41" s="178" t="s">
        <v>192</v>
      </c>
      <c r="C41" s="241">
        <v>0</v>
      </c>
      <c r="D41" s="241">
        <f>0-C41</f>
        <v>0</v>
      </c>
      <c r="E41" s="241">
        <f>0-C41-D41</f>
        <v>0</v>
      </c>
      <c r="F41" s="169">
        <f>-1282-C41-D41-E41</f>
        <v>-1282</v>
      </c>
      <c r="G41" s="182">
        <f t="shared" si="27"/>
        <v>-1282</v>
      </c>
      <c r="H41" s="240">
        <v>-549</v>
      </c>
      <c r="I41" s="241">
        <f>-549-H41</f>
        <v>0</v>
      </c>
      <c r="J41" s="241">
        <f>-747-H41-I41</f>
        <v>-198</v>
      </c>
      <c r="K41" s="169">
        <f>-747-H41-I41-J41</f>
        <v>0</v>
      </c>
      <c r="L41" s="182">
        <f t="shared" si="28"/>
        <v>-747</v>
      </c>
      <c r="M41" s="19">
        <v>0</v>
      </c>
      <c r="N41" s="19">
        <f>0-M41</f>
        <v>0</v>
      </c>
      <c r="O41" s="89">
        <f>0-M41-N41</f>
        <v>0</v>
      </c>
      <c r="P41" s="90">
        <v>0</v>
      </c>
      <c r="Q41" s="207">
        <f t="shared" si="29"/>
        <v>0</v>
      </c>
      <c r="R41" s="227">
        <v>0</v>
      </c>
      <c r="S41" s="89">
        <v>-27</v>
      </c>
      <c r="T41" s="89">
        <f>-27-R41-S41</f>
        <v>0</v>
      </c>
      <c r="U41" s="90">
        <f>-27-T41-S41-R41</f>
        <v>0</v>
      </c>
      <c r="V41" s="207">
        <f t="shared" si="30"/>
        <v>-27</v>
      </c>
      <c r="W41" s="227">
        <v>-206</v>
      </c>
      <c r="X41" s="89">
        <f>-210-W41</f>
        <v>-4</v>
      </c>
      <c r="Y41" s="89">
        <f>-521-X41-W41</f>
        <v>-311</v>
      </c>
      <c r="Z41" s="90">
        <f>-756-Y41-X41-W41</f>
        <v>-235</v>
      </c>
      <c r="AA41" s="207">
        <f t="shared" si="31"/>
        <v>-756</v>
      </c>
      <c r="AB41" s="227">
        <v>-511</v>
      </c>
      <c r="AC41" s="19">
        <v>0</v>
      </c>
      <c r="AD41" s="19">
        <v>0</v>
      </c>
      <c r="AE41" s="90">
        <v>-1349</v>
      </c>
      <c r="AF41" s="207">
        <f t="shared" si="32"/>
        <v>-1860</v>
      </c>
      <c r="AG41" s="227">
        <v>0</v>
      </c>
      <c r="AH41" s="19">
        <f>0-AG41</f>
        <v>0</v>
      </c>
      <c r="AI41" s="19">
        <f>-1219-AH41-AG41</f>
        <v>-1219</v>
      </c>
      <c r="AJ41" s="90">
        <f>-1223-AI41-AH41-AG41+2</f>
        <v>-2</v>
      </c>
      <c r="AK41" s="207">
        <f>SUM(AG41:AJ41)</f>
        <v>-1221</v>
      </c>
      <c r="AL41" s="227">
        <v>0</v>
      </c>
      <c r="AM41" s="19">
        <v>0</v>
      </c>
      <c r="AN41" s="19">
        <v>0</v>
      </c>
      <c r="AO41" s="90">
        <f>0-AN41-AM41-AL41</f>
        <v>0</v>
      </c>
      <c r="AP41" s="207">
        <f>SUM(AL41:AO41)</f>
        <v>0</v>
      </c>
      <c r="AQ41" s="227">
        <v>-230</v>
      </c>
      <c r="AR41" s="19">
        <f>-904-AQ41</f>
        <v>-674</v>
      </c>
      <c r="AS41" s="19">
        <f>-910-AR41-AQ41</f>
        <v>-6</v>
      </c>
      <c r="AT41" s="90">
        <f>-910-AS41-AR41-AQ41</f>
        <v>0</v>
      </c>
      <c r="AU41" s="207">
        <f>SUM(AQ41:AT41)</f>
        <v>-910</v>
      </c>
      <c r="AV41" s="19">
        <v>0</v>
      </c>
      <c r="AW41" s="19">
        <f>0-AV41</f>
        <v>0</v>
      </c>
      <c r="AX41" s="19">
        <v>0</v>
      </c>
      <c r="AY41" s="90">
        <v>0</v>
      </c>
      <c r="AZ41" s="207">
        <f>SUM(AV41:AY41)</f>
        <v>0</v>
      </c>
      <c r="BA41" s="19">
        <v>-124</v>
      </c>
      <c r="BB41" s="19">
        <f>-3155-BA41</f>
        <v>-3031</v>
      </c>
      <c r="BC41" s="19">
        <f>-3155-BB41-BA41</f>
        <v>0</v>
      </c>
      <c r="BD41" s="90">
        <f>-3155-SUM(BA41:BC41)</f>
        <v>0</v>
      </c>
      <c r="BE41" s="207">
        <f>SUM(BA41:BD41)</f>
        <v>-3155</v>
      </c>
      <c r="BF41" s="19">
        <v>-632</v>
      </c>
      <c r="BG41" s="19">
        <f>-637-BF41</f>
        <v>-5</v>
      </c>
      <c r="BH41" s="19">
        <f>-637-BF41-BG41</f>
        <v>0</v>
      </c>
      <c r="BI41" s="90">
        <f>-637-BH41-BG41-BF41</f>
        <v>0</v>
      </c>
      <c r="BJ41" s="207">
        <f>SUM(BF41:BI41)</f>
        <v>-637</v>
      </c>
      <c r="BK41" s="19">
        <v>-3226</v>
      </c>
      <c r="BL41" s="19">
        <f t="shared" si="40"/>
        <v>-12</v>
      </c>
      <c r="BM41" s="19"/>
      <c r="BN41" s="90"/>
      <c r="BO41" s="207">
        <v>-3238</v>
      </c>
    </row>
    <row r="42" spans="2:67" ht="13">
      <c r="B42" s="176" t="s">
        <v>193</v>
      </c>
      <c r="C42" s="239">
        <v>0</v>
      </c>
      <c r="D42" s="239">
        <f>0-C42</f>
        <v>0</v>
      </c>
      <c r="E42" s="239">
        <f>0-C42-D42</f>
        <v>0</v>
      </c>
      <c r="F42" s="167">
        <f>0-C42-D42-E42</f>
        <v>0</v>
      </c>
      <c r="G42" s="182">
        <f t="shared" si="27"/>
        <v>0</v>
      </c>
      <c r="H42" s="240">
        <v>0</v>
      </c>
      <c r="I42" s="239">
        <f>0-H42</f>
        <v>0</v>
      </c>
      <c r="J42" s="239">
        <f>0-H42-I42</f>
        <v>0</v>
      </c>
      <c r="K42" s="167">
        <f>0-H42-I42-J42</f>
        <v>0</v>
      </c>
      <c r="L42" s="182">
        <f t="shared" si="28"/>
        <v>0</v>
      </c>
      <c r="M42" s="19">
        <v>-36</v>
      </c>
      <c r="N42" s="19">
        <f>-36-M42</f>
        <v>0</v>
      </c>
      <c r="O42" s="89">
        <f>-36-M42-N42</f>
        <v>0</v>
      </c>
      <c r="P42" s="90">
        <v>0</v>
      </c>
      <c r="Q42" s="207">
        <f t="shared" si="29"/>
        <v>-36</v>
      </c>
      <c r="R42" s="227">
        <v>-33</v>
      </c>
      <c r="S42" s="89">
        <v>0</v>
      </c>
      <c r="T42" s="89">
        <f>-33-R42-S42</f>
        <v>0</v>
      </c>
      <c r="U42" s="90">
        <f>-33-T42-S42-R42</f>
        <v>0</v>
      </c>
      <c r="V42" s="207">
        <f t="shared" si="30"/>
        <v>-33</v>
      </c>
      <c r="W42" s="227">
        <v>0</v>
      </c>
      <c r="X42" s="89">
        <f>-6-W42</f>
        <v>-6</v>
      </c>
      <c r="Y42" s="89">
        <f>-6-X42-W42</f>
        <v>0</v>
      </c>
      <c r="Z42" s="90">
        <f>-18-Y42-X42-W42</f>
        <v>-12</v>
      </c>
      <c r="AA42" s="207">
        <f t="shared" si="31"/>
        <v>-18</v>
      </c>
      <c r="AB42" s="227">
        <v>0</v>
      </c>
      <c r="AC42" s="19">
        <v>0</v>
      </c>
      <c r="AD42" s="19">
        <v>0</v>
      </c>
      <c r="AE42" s="90">
        <v>-6</v>
      </c>
      <c r="AF42" s="207">
        <f t="shared" si="32"/>
        <v>-6</v>
      </c>
      <c r="AG42" s="227">
        <v>-150</v>
      </c>
      <c r="AH42" s="19">
        <f>-150-AG42</f>
        <v>0</v>
      </c>
      <c r="AI42" s="19">
        <f>-157-AH42-AG42</f>
        <v>-7</v>
      </c>
      <c r="AJ42" s="90">
        <f>-158-AI42-AH42-AG42</f>
        <v>-1</v>
      </c>
      <c r="AK42" s="207">
        <f t="shared" si="33"/>
        <v>-158</v>
      </c>
      <c r="AL42" s="227">
        <v>-53</v>
      </c>
      <c r="AM42" s="19">
        <f>-53-AL42</f>
        <v>0</v>
      </c>
      <c r="AN42" s="19">
        <f>-53-AM42-AL42</f>
        <v>0</v>
      </c>
      <c r="AO42" s="90">
        <f>-53-AN42-AM42-AL42</f>
        <v>0</v>
      </c>
      <c r="AP42" s="207">
        <f t="shared" si="34"/>
        <v>-53</v>
      </c>
      <c r="AQ42" s="227">
        <v>-60</v>
      </c>
      <c r="AR42" s="19">
        <f>-60-AQ42</f>
        <v>0</v>
      </c>
      <c r="AS42" s="19">
        <f>-60-AR42-AQ42</f>
        <v>0</v>
      </c>
      <c r="AT42" s="90">
        <f>-60-AS42-AR42-AQ42</f>
        <v>0</v>
      </c>
      <c r="AU42" s="207">
        <f t="shared" si="35"/>
        <v>-60</v>
      </c>
      <c r="AV42" s="19">
        <v>0</v>
      </c>
      <c r="AW42" s="19">
        <f>-59-AV42</f>
        <v>-59</v>
      </c>
      <c r="AX42" s="19">
        <f>-101-SUM(AV42:AW42)</f>
        <v>-42</v>
      </c>
      <c r="AY42" s="90">
        <f>-101-SUM(AV42:AX42)</f>
        <v>0</v>
      </c>
      <c r="AZ42" s="207">
        <f t="shared" si="36"/>
        <v>-101</v>
      </c>
      <c r="BA42" s="19">
        <v>0</v>
      </c>
      <c r="BB42" s="19">
        <v>0</v>
      </c>
      <c r="BC42" s="19">
        <v>0</v>
      </c>
      <c r="BD42" s="19">
        <v>0</v>
      </c>
      <c r="BE42" s="207">
        <f t="shared" si="37"/>
        <v>0</v>
      </c>
      <c r="BF42" s="19">
        <v>0</v>
      </c>
      <c r="BG42" s="19">
        <f>-13-BF42</f>
        <v>-13</v>
      </c>
      <c r="BH42" s="19">
        <f>-13-BF42-BG42</f>
        <v>0</v>
      </c>
      <c r="BI42" s="19">
        <f>-13-BH42-BG42-BF42</f>
        <v>0</v>
      </c>
      <c r="BJ42" s="207">
        <f t="shared" si="38"/>
        <v>-13</v>
      </c>
      <c r="BK42" s="19">
        <v>-6</v>
      </c>
      <c r="BL42" s="19">
        <f t="shared" si="40"/>
        <v>-21</v>
      </c>
      <c r="BM42" s="19"/>
      <c r="BN42" s="19"/>
      <c r="BO42" s="207">
        <v>-27</v>
      </c>
    </row>
    <row r="43" spans="2:67" ht="13">
      <c r="B43" s="392" t="s">
        <v>194</v>
      </c>
      <c r="C43" s="446">
        <v>0</v>
      </c>
      <c r="D43" s="446">
        <v>0</v>
      </c>
      <c r="E43" s="446">
        <v>0</v>
      </c>
      <c r="F43" s="447">
        <v>0</v>
      </c>
      <c r="G43" s="442">
        <f t="shared" si="27"/>
        <v>0</v>
      </c>
      <c r="H43" s="444">
        <v>-13</v>
      </c>
      <c r="I43" s="446">
        <f>-22-H43</f>
        <v>-9</v>
      </c>
      <c r="J43" s="446">
        <f>-55-H43-I43</f>
        <v>-33</v>
      </c>
      <c r="K43" s="447">
        <f>-82-H43-I43-J43</f>
        <v>-27</v>
      </c>
      <c r="L43" s="442">
        <f t="shared" si="28"/>
        <v>-82</v>
      </c>
      <c r="M43" s="19">
        <v>-26</v>
      </c>
      <c r="N43" s="89">
        <f>-54-M43</f>
        <v>-28</v>
      </c>
      <c r="O43" s="89">
        <f>-54-M43-N43</f>
        <v>0</v>
      </c>
      <c r="P43" s="90">
        <v>-14</v>
      </c>
      <c r="Q43" s="445">
        <f t="shared" si="29"/>
        <v>-68</v>
      </c>
      <c r="R43" s="227">
        <v>-13</v>
      </c>
      <c r="S43" s="89">
        <v>0</v>
      </c>
      <c r="T43" s="89">
        <f>-23-R43-S43</f>
        <v>-10</v>
      </c>
      <c r="U43" s="90">
        <f>-23-T43-S43-R43</f>
        <v>0</v>
      </c>
      <c r="V43" s="445">
        <f t="shared" si="30"/>
        <v>-23</v>
      </c>
      <c r="W43" s="227">
        <v>-10</v>
      </c>
      <c r="X43" s="89">
        <f>-21-W43</f>
        <v>-11</v>
      </c>
      <c r="Y43" s="89">
        <f>-21-X43-W43</f>
        <v>0</v>
      </c>
      <c r="Z43" s="90">
        <f>-21-Y43-X43-W43</f>
        <v>0</v>
      </c>
      <c r="AA43" s="445">
        <f t="shared" si="31"/>
        <v>-21</v>
      </c>
      <c r="AB43" s="227">
        <v>0</v>
      </c>
      <c r="AC43" s="19">
        <v>-41</v>
      </c>
      <c r="AD43" s="19"/>
      <c r="AE43" s="90">
        <v>0</v>
      </c>
      <c r="AF43" s="207">
        <f t="shared" si="32"/>
        <v>-41</v>
      </c>
      <c r="AG43" s="227">
        <v>0</v>
      </c>
      <c r="AH43" s="19">
        <v>0</v>
      </c>
      <c r="AI43" s="19">
        <f>0-AH43-AG43</f>
        <v>0</v>
      </c>
      <c r="AJ43" s="90">
        <v>0</v>
      </c>
      <c r="AK43" s="207">
        <f t="shared" si="33"/>
        <v>0</v>
      </c>
      <c r="AL43" s="227">
        <v>0</v>
      </c>
      <c r="AM43" s="19">
        <v>0</v>
      </c>
      <c r="AN43" s="19">
        <v>0</v>
      </c>
      <c r="AO43" s="90">
        <v>0</v>
      </c>
      <c r="AP43" s="207">
        <f t="shared" si="34"/>
        <v>0</v>
      </c>
      <c r="AQ43" s="19">
        <v>0</v>
      </c>
      <c r="AR43" s="19">
        <v>0</v>
      </c>
      <c r="AS43" s="19">
        <v>0</v>
      </c>
      <c r="AT43" s="90">
        <v>0</v>
      </c>
      <c r="AU43" s="207">
        <f t="shared" si="35"/>
        <v>0</v>
      </c>
      <c r="AV43" s="19">
        <v>0</v>
      </c>
      <c r="AW43" s="19">
        <v>0</v>
      </c>
      <c r="AX43" s="19">
        <v>0</v>
      </c>
      <c r="AY43" s="90">
        <v>0</v>
      </c>
      <c r="AZ43" s="207">
        <f t="shared" si="36"/>
        <v>0</v>
      </c>
      <c r="BA43" s="19">
        <v>0</v>
      </c>
      <c r="BB43" s="19">
        <v>0</v>
      </c>
      <c r="BC43" s="19">
        <v>0</v>
      </c>
      <c r="BD43" s="19">
        <v>0</v>
      </c>
      <c r="BE43" s="207">
        <f t="shared" si="37"/>
        <v>0</v>
      </c>
      <c r="BF43" s="19">
        <v>0</v>
      </c>
      <c r="BG43" s="19">
        <v>0</v>
      </c>
      <c r="BH43" s="19">
        <v>0</v>
      </c>
      <c r="BI43" s="19">
        <v>0</v>
      </c>
      <c r="BJ43" s="207">
        <f t="shared" si="38"/>
        <v>0</v>
      </c>
      <c r="BK43" s="19">
        <v>0</v>
      </c>
      <c r="BL43" s="19">
        <f t="shared" si="40"/>
        <v>0</v>
      </c>
      <c r="BM43" s="19"/>
      <c r="BN43" s="19"/>
      <c r="BO43" s="207">
        <v>0</v>
      </c>
    </row>
    <row r="44" spans="2:67" ht="13">
      <c r="B44" s="392" t="s">
        <v>195</v>
      </c>
      <c r="C44" s="446">
        <v>0</v>
      </c>
      <c r="D44" s="446">
        <v>0</v>
      </c>
      <c r="E44" s="446">
        <v>0</v>
      </c>
      <c r="F44" s="447">
        <v>0</v>
      </c>
      <c r="G44" s="442">
        <f t="shared" si="27"/>
        <v>0</v>
      </c>
      <c r="H44" s="444">
        <v>0</v>
      </c>
      <c r="I44" s="446">
        <f>-15-H44</f>
        <v>-15</v>
      </c>
      <c r="J44" s="446">
        <f>-18-H44-I44</f>
        <v>-3</v>
      </c>
      <c r="K44" s="447">
        <f>-22-H44-I44-J44</f>
        <v>-4</v>
      </c>
      <c r="L44" s="442">
        <f t="shared" si="28"/>
        <v>-22</v>
      </c>
      <c r="M44" s="19">
        <v>0</v>
      </c>
      <c r="N44" s="89">
        <f>-8-M44</f>
        <v>-8</v>
      </c>
      <c r="O44" s="89">
        <f>-22-M44-N44</f>
        <v>-14</v>
      </c>
      <c r="P44" s="90">
        <v>-4</v>
      </c>
      <c r="Q44" s="445">
        <f t="shared" si="29"/>
        <v>-26</v>
      </c>
      <c r="R44" s="227">
        <v>-9</v>
      </c>
      <c r="S44" s="89">
        <v>-5</v>
      </c>
      <c r="T44" s="89">
        <f>-14-R44-S44</f>
        <v>0</v>
      </c>
      <c r="U44" s="90">
        <f>-23-T44-S44-R44</f>
        <v>-9</v>
      </c>
      <c r="V44" s="445">
        <f t="shared" si="30"/>
        <v>-23</v>
      </c>
      <c r="W44" s="227">
        <v>-5</v>
      </c>
      <c r="X44" s="89">
        <f>-8-W44</f>
        <v>-3</v>
      </c>
      <c r="Y44" s="89">
        <f>-16-X44-W44</f>
        <v>-8</v>
      </c>
      <c r="Z44" s="90">
        <f>-19-Y44-X44-W44</f>
        <v>-3</v>
      </c>
      <c r="AA44" s="445">
        <f t="shared" si="31"/>
        <v>-19</v>
      </c>
      <c r="AB44" s="227">
        <v>-16</v>
      </c>
      <c r="AC44" s="19">
        <v>0</v>
      </c>
      <c r="AD44" s="19">
        <v>-2</v>
      </c>
      <c r="AE44" s="90">
        <v>-11</v>
      </c>
      <c r="AF44" s="207">
        <f t="shared" si="32"/>
        <v>-29</v>
      </c>
      <c r="AG44" s="227">
        <v>-1</v>
      </c>
      <c r="AH44" s="19">
        <f>-1-AG44</f>
        <v>0</v>
      </c>
      <c r="AI44" s="19">
        <f>-44-AH44-AG44</f>
        <v>-43</v>
      </c>
      <c r="AJ44" s="90">
        <f>-45-25-AI44-AH44-AG44</f>
        <v>-26</v>
      </c>
      <c r="AK44" s="207">
        <f t="shared" si="33"/>
        <v>-70</v>
      </c>
      <c r="AL44" s="227">
        <f>-3-22</f>
        <v>-25</v>
      </c>
      <c r="AM44" s="19">
        <f>-13-AL44-22</f>
        <v>-10</v>
      </c>
      <c r="AN44" s="19">
        <f>-24-AM44-AL44-22</f>
        <v>-11</v>
      </c>
      <c r="AO44" s="90">
        <f>-24-22-AN44-AM44-AL44</f>
        <v>0</v>
      </c>
      <c r="AP44" s="207">
        <f t="shared" si="34"/>
        <v>-46</v>
      </c>
      <c r="AQ44" s="227">
        <f>-10</f>
        <v>-10</v>
      </c>
      <c r="AR44" s="19">
        <f>-18-AQ44</f>
        <v>-8</v>
      </c>
      <c r="AS44" s="19">
        <f>-18-AR44-AQ44</f>
        <v>0</v>
      </c>
      <c r="AT44" s="90">
        <f>-20-0-AS44-AR44-AQ44</f>
        <v>-2</v>
      </c>
      <c r="AU44" s="207">
        <f t="shared" si="35"/>
        <v>-20</v>
      </c>
      <c r="AV44" s="227">
        <v>-3</v>
      </c>
      <c r="AW44" s="19">
        <f>-5-AV44</f>
        <v>-2</v>
      </c>
      <c r="AX44" s="19">
        <f>-11-SUM(AV44:AW44)</f>
        <v>-6</v>
      </c>
      <c r="AY44" s="90">
        <f>-14-SUM(AV44:AX44)</f>
        <v>-3</v>
      </c>
      <c r="AZ44" s="207">
        <f>SUM(AV44:AY44)</f>
        <v>-14</v>
      </c>
      <c r="BA44" s="227">
        <v>-6</v>
      </c>
      <c r="BB44" s="19">
        <f>-17-BA44</f>
        <v>-11</v>
      </c>
      <c r="BC44" s="19">
        <f>-43-BB44-BA44</f>
        <v>-26</v>
      </c>
      <c r="BD44" s="90">
        <f>-60-SUM(BA44:BC44)</f>
        <v>-17</v>
      </c>
      <c r="BE44" s="207">
        <f>SUM(BA44:BD44)</f>
        <v>-60</v>
      </c>
      <c r="BF44" s="227">
        <v>-12</v>
      </c>
      <c r="BG44" s="19">
        <f>-22-BF44</f>
        <v>-10</v>
      </c>
      <c r="BH44" s="19">
        <f>-36-BF44-BG44</f>
        <v>-14</v>
      </c>
      <c r="BI44" s="90">
        <f>-38-BH44-BG44-BF44</f>
        <v>-2</v>
      </c>
      <c r="BJ44" s="207">
        <f>SUM(BF44:BI44)</f>
        <v>-38</v>
      </c>
      <c r="BK44" s="227">
        <v>-173</v>
      </c>
      <c r="BL44" s="19">
        <f t="shared" si="40"/>
        <v>-28</v>
      </c>
      <c r="BM44" s="19"/>
      <c r="BN44" s="90"/>
      <c r="BO44" s="207">
        <v>-201</v>
      </c>
    </row>
    <row r="45" spans="2:67" ht="13">
      <c r="B45" s="392" t="s">
        <v>196</v>
      </c>
      <c r="C45" s="446"/>
      <c r="D45" s="446"/>
      <c r="E45" s="446"/>
      <c r="F45" s="447"/>
      <c r="G45" s="442"/>
      <c r="H45" s="444"/>
      <c r="I45" s="446"/>
      <c r="J45" s="446"/>
      <c r="K45" s="447"/>
      <c r="L45" s="442"/>
      <c r="M45" s="19"/>
      <c r="N45" s="89"/>
      <c r="O45" s="89"/>
      <c r="P45" s="90"/>
      <c r="Q45" s="445"/>
      <c r="R45" s="227"/>
      <c r="S45" s="89"/>
      <c r="T45" s="89"/>
      <c r="U45" s="90"/>
      <c r="V45" s="445"/>
      <c r="W45" s="227"/>
      <c r="X45" s="89"/>
      <c r="Y45" s="89"/>
      <c r="Z45" s="90">
        <f>-257-Y45-X45-W45</f>
        <v>-257</v>
      </c>
      <c r="AA45" s="445">
        <f t="shared" si="31"/>
        <v>-257</v>
      </c>
      <c r="AB45" s="227">
        <v>207</v>
      </c>
      <c r="AC45" s="19">
        <v>50</v>
      </c>
      <c r="AD45" s="19">
        <v>0</v>
      </c>
      <c r="AE45" s="90">
        <v>0</v>
      </c>
      <c r="AF45" s="207">
        <f t="shared" si="32"/>
        <v>257</v>
      </c>
      <c r="AG45" s="227">
        <v>0</v>
      </c>
      <c r="AH45" s="19">
        <v>0</v>
      </c>
      <c r="AI45" s="19">
        <f>0-AH45-AG45</f>
        <v>0</v>
      </c>
      <c r="AJ45" s="90">
        <v>0</v>
      </c>
      <c r="AK45" s="207">
        <f t="shared" si="33"/>
        <v>0</v>
      </c>
      <c r="AL45" s="227">
        <v>-320</v>
      </c>
      <c r="AM45" s="19">
        <f>-420-AL45</f>
        <v>-100</v>
      </c>
      <c r="AN45" s="19">
        <f>-420-AM45-AL45</f>
        <v>0</v>
      </c>
      <c r="AO45" s="90">
        <f>-420-AN45-AM45-AL45</f>
        <v>0</v>
      </c>
      <c r="AP45" s="207">
        <f t="shared" si="34"/>
        <v>-420</v>
      </c>
      <c r="AQ45" s="227">
        <v>0</v>
      </c>
      <c r="AR45" s="19">
        <f>0-AQ45</f>
        <v>0</v>
      </c>
      <c r="AS45" s="19">
        <v>-353</v>
      </c>
      <c r="AT45" s="90">
        <v>-130</v>
      </c>
      <c r="AU45" s="207">
        <f t="shared" si="35"/>
        <v>-483</v>
      </c>
      <c r="AV45" s="19">
        <v>0</v>
      </c>
      <c r="AW45" s="19">
        <v>0</v>
      </c>
      <c r="AX45" s="19">
        <v>0</v>
      </c>
      <c r="AY45" s="90">
        <v>0</v>
      </c>
      <c r="AZ45" s="207">
        <f>SUM(AV45:AY45)</f>
        <v>0</v>
      </c>
      <c r="BA45" s="19">
        <v>0</v>
      </c>
      <c r="BB45" s="19">
        <v>0</v>
      </c>
      <c r="BC45" s="19">
        <v>0</v>
      </c>
      <c r="BD45" s="19">
        <v>0</v>
      </c>
      <c r="BE45" s="207">
        <f>SUM(BA45:BD45)</f>
        <v>0</v>
      </c>
      <c r="BF45" s="19">
        <v>0</v>
      </c>
      <c r="BG45" s="19">
        <v>0</v>
      </c>
      <c r="BH45" s="19">
        <f>-1815</f>
        <v>-1815</v>
      </c>
      <c r="BI45" s="19">
        <f>-1815-BH45-BG45-BF45</f>
        <v>0</v>
      </c>
      <c r="BJ45" s="207">
        <f>SUM(BF45:BI45)</f>
        <v>-1815</v>
      </c>
      <c r="BK45" s="19">
        <v>0</v>
      </c>
      <c r="BL45" s="19">
        <f t="shared" si="40"/>
        <v>0</v>
      </c>
      <c r="BM45" s="19"/>
      <c r="BN45" s="19"/>
      <c r="BO45" s="207">
        <v>0</v>
      </c>
    </row>
    <row r="46" spans="2:67" ht="13">
      <c r="B46" s="392" t="s">
        <v>197</v>
      </c>
      <c r="C46" s="446"/>
      <c r="D46" s="446"/>
      <c r="E46" s="446"/>
      <c r="F46" s="447"/>
      <c r="G46" s="442"/>
      <c r="H46" s="444"/>
      <c r="I46" s="446"/>
      <c r="J46" s="446"/>
      <c r="K46" s="447"/>
      <c r="L46" s="442"/>
      <c r="M46" s="19"/>
      <c r="N46" s="89"/>
      <c r="O46" s="89"/>
      <c r="P46" s="90"/>
      <c r="Q46" s="445"/>
      <c r="R46" s="227"/>
      <c r="S46" s="89"/>
      <c r="T46" s="89"/>
      <c r="U46" s="90"/>
      <c r="V46" s="445"/>
      <c r="W46" s="227"/>
      <c r="X46" s="89"/>
      <c r="Y46" s="89"/>
      <c r="Z46" s="90"/>
      <c r="AA46" s="445"/>
      <c r="AB46" s="227"/>
      <c r="AC46" s="19"/>
      <c r="AD46" s="19"/>
      <c r="AE46" s="90"/>
      <c r="AF46" s="207"/>
      <c r="AG46" s="227"/>
      <c r="AH46" s="19"/>
      <c r="AI46" s="19"/>
      <c r="AJ46" s="90"/>
      <c r="AK46" s="207"/>
      <c r="AL46" s="227">
        <v>0</v>
      </c>
      <c r="AM46" s="19">
        <f>420-AL46</f>
        <v>420</v>
      </c>
      <c r="AN46" s="19">
        <f>420-AM46-AL46</f>
        <v>0</v>
      </c>
      <c r="AO46" s="90">
        <f>420-AN46-AM46-AL46</f>
        <v>0</v>
      </c>
      <c r="AP46" s="207">
        <f t="shared" si="34"/>
        <v>420</v>
      </c>
      <c r="AQ46" s="19">
        <v>0</v>
      </c>
      <c r="AR46" s="19">
        <f>0-AQ46</f>
        <v>0</v>
      </c>
      <c r="AS46" s="19">
        <f>0-AR46-AQ46</f>
        <v>0</v>
      </c>
      <c r="AT46" s="90">
        <v>483</v>
      </c>
      <c r="AU46" s="207">
        <f t="shared" si="35"/>
        <v>483</v>
      </c>
      <c r="AV46" s="19">
        <v>0</v>
      </c>
      <c r="AW46" s="19">
        <v>0</v>
      </c>
      <c r="AX46" s="19">
        <v>0</v>
      </c>
      <c r="AY46" s="90">
        <v>0</v>
      </c>
      <c r="AZ46" s="207">
        <f>SUM(AV46:AY46)</f>
        <v>0</v>
      </c>
      <c r="BA46" s="19">
        <v>0</v>
      </c>
      <c r="BB46" s="19">
        <v>0</v>
      </c>
      <c r="BC46" s="19">
        <v>0</v>
      </c>
      <c r="BD46" s="19">
        <v>0</v>
      </c>
      <c r="BE46" s="207">
        <f>SUM(BA46:BD46)</f>
        <v>0</v>
      </c>
      <c r="BF46" s="19">
        <v>0</v>
      </c>
      <c r="BG46" s="19">
        <v>0</v>
      </c>
      <c r="BH46" s="19">
        <v>1815</v>
      </c>
      <c r="BI46" s="19">
        <f>1815-BH46-BG46-BF46</f>
        <v>0</v>
      </c>
      <c r="BJ46" s="207">
        <f>SUM(BF46:BI46)</f>
        <v>1815</v>
      </c>
      <c r="BK46" s="19">
        <v>0</v>
      </c>
      <c r="BL46" s="19">
        <f t="shared" si="40"/>
        <v>0</v>
      </c>
      <c r="BM46" s="19"/>
      <c r="BN46" s="19"/>
      <c r="BO46" s="207">
        <v>0</v>
      </c>
    </row>
    <row r="47" spans="2:67" ht="13">
      <c r="B47" s="392" t="s">
        <v>198</v>
      </c>
      <c r="C47" s="446"/>
      <c r="D47" s="446"/>
      <c r="E47" s="446"/>
      <c r="F47" s="447"/>
      <c r="G47" s="442">
        <v>0</v>
      </c>
      <c r="H47" s="444"/>
      <c r="I47" s="446"/>
      <c r="J47" s="446"/>
      <c r="K47" s="447"/>
      <c r="L47" s="442">
        <v>0</v>
      </c>
      <c r="M47" s="19"/>
      <c r="N47" s="89"/>
      <c r="O47" s="89"/>
      <c r="P47" s="90"/>
      <c r="Q47" s="445">
        <v>0</v>
      </c>
      <c r="R47" s="302">
        <v>0</v>
      </c>
      <c r="S47" s="89">
        <v>0</v>
      </c>
      <c r="T47" s="89">
        <f>25-R47-S47</f>
        <v>25</v>
      </c>
      <c r="U47" s="90">
        <f>35-T47-S47-R47</f>
        <v>10</v>
      </c>
      <c r="V47" s="445">
        <f t="shared" si="30"/>
        <v>35</v>
      </c>
      <c r="W47" s="227">
        <v>0</v>
      </c>
      <c r="X47" s="89">
        <v>0</v>
      </c>
      <c r="Y47" s="89">
        <f>5-X47-W47</f>
        <v>5</v>
      </c>
      <c r="Z47" s="90">
        <f>115-Y47-X47-W47</f>
        <v>110</v>
      </c>
      <c r="AA47" s="445">
        <f t="shared" si="31"/>
        <v>115</v>
      </c>
      <c r="AB47" s="227">
        <v>13</v>
      </c>
      <c r="AC47" s="19">
        <v>0</v>
      </c>
      <c r="AD47" s="19"/>
      <c r="AE47" s="90">
        <v>14</v>
      </c>
      <c r="AF47" s="207">
        <f t="shared" si="32"/>
        <v>27</v>
      </c>
      <c r="AG47" s="227">
        <v>0</v>
      </c>
      <c r="AH47" s="19">
        <v>0</v>
      </c>
      <c r="AI47" s="19">
        <f>58-AH47-AG47</f>
        <v>58</v>
      </c>
      <c r="AJ47" s="90">
        <f>73-AI47-AH47-AG47</f>
        <v>15</v>
      </c>
      <c r="AK47" s="207">
        <f t="shared" si="33"/>
        <v>73</v>
      </c>
      <c r="AL47" s="227">
        <v>0</v>
      </c>
      <c r="AM47" s="19">
        <v>0</v>
      </c>
      <c r="AN47" s="19">
        <f>0-AM47-AL47</f>
        <v>0</v>
      </c>
      <c r="AO47" s="90">
        <f>0-AN47-AM47-AL47</f>
        <v>0</v>
      </c>
      <c r="AP47" s="207">
        <f t="shared" si="34"/>
        <v>0</v>
      </c>
      <c r="AQ47" s="19">
        <v>0</v>
      </c>
      <c r="AR47" s="19">
        <v>99</v>
      </c>
      <c r="AS47" s="19">
        <f>99-AR47-AQ47</f>
        <v>0</v>
      </c>
      <c r="AT47" s="90">
        <f>99-AS47-AR47-AQ47</f>
        <v>0</v>
      </c>
      <c r="AU47" s="207">
        <f t="shared" si="35"/>
        <v>99</v>
      </c>
      <c r="AV47" s="19">
        <v>0</v>
      </c>
      <c r="AW47" s="19">
        <f>0-AV47</f>
        <v>0</v>
      </c>
      <c r="AX47" s="19">
        <v>0</v>
      </c>
      <c r="AY47" s="19">
        <v>0</v>
      </c>
      <c r="AZ47" s="207">
        <f t="shared" si="36"/>
        <v>0</v>
      </c>
      <c r="BA47" s="19">
        <v>0</v>
      </c>
      <c r="BB47" s="19">
        <v>0</v>
      </c>
      <c r="BC47" s="19">
        <v>0</v>
      </c>
      <c r="BD47" s="19">
        <v>0</v>
      </c>
      <c r="BE47" s="207">
        <f t="shared" si="37"/>
        <v>0</v>
      </c>
      <c r="BF47" s="19">
        <v>0</v>
      </c>
      <c r="BG47" s="19">
        <v>0</v>
      </c>
      <c r="BH47" s="19">
        <v>0</v>
      </c>
      <c r="BI47" s="19">
        <v>0</v>
      </c>
      <c r="BJ47" s="207">
        <f t="shared" si="38"/>
        <v>0</v>
      </c>
      <c r="BK47" s="19">
        <v>0</v>
      </c>
      <c r="BL47" s="19">
        <f t="shared" si="40"/>
        <v>0</v>
      </c>
      <c r="BM47" s="19"/>
      <c r="BN47" s="19"/>
      <c r="BO47" s="207">
        <v>0</v>
      </c>
    </row>
    <row r="48" spans="2:67" ht="13">
      <c r="B48" s="177" t="s">
        <v>199</v>
      </c>
      <c r="C48" s="240">
        <v>0</v>
      </c>
      <c r="D48" s="240">
        <f>0-C48</f>
        <v>0</v>
      </c>
      <c r="E48" s="240">
        <f>0-C48-D48</f>
        <v>0</v>
      </c>
      <c r="F48" s="168">
        <f>0-C48-D48-E48</f>
        <v>0</v>
      </c>
      <c r="G48" s="182">
        <f t="shared" si="27"/>
        <v>0</v>
      </c>
      <c r="H48" s="245">
        <v>0</v>
      </c>
      <c r="I48" s="240">
        <f>0-H48</f>
        <v>0</v>
      </c>
      <c r="J48" s="240">
        <f>0-H48-I48</f>
        <v>0</v>
      </c>
      <c r="K48" s="168">
        <f>0-H48-I48-J48</f>
        <v>0</v>
      </c>
      <c r="L48" s="182">
        <f t="shared" si="28"/>
        <v>0</v>
      </c>
      <c r="M48" s="19">
        <v>0</v>
      </c>
      <c r="N48" s="89">
        <f>0-M48</f>
        <v>0</v>
      </c>
      <c r="O48" s="89">
        <f>0-M48-N48</f>
        <v>0</v>
      </c>
      <c r="P48" s="90">
        <v>-7823</v>
      </c>
      <c r="Q48" s="445">
        <f t="shared" si="29"/>
        <v>-7823</v>
      </c>
      <c r="R48" s="227">
        <v>-281</v>
      </c>
      <c r="S48" s="89">
        <v>-142</v>
      </c>
      <c r="T48" s="89">
        <f>-2268-R48-S48</f>
        <v>-1845</v>
      </c>
      <c r="U48" s="90">
        <f>-6653-T48-S48-R48</f>
        <v>-4385</v>
      </c>
      <c r="V48" s="445">
        <f t="shared" si="30"/>
        <v>-6653</v>
      </c>
      <c r="W48" s="227">
        <v>0</v>
      </c>
      <c r="X48" s="89">
        <f>-1268-W48</f>
        <v>-1268</v>
      </c>
      <c r="Y48" s="89">
        <f>-1775-X48-W48</f>
        <v>-507</v>
      </c>
      <c r="Z48" s="90">
        <f>-2393-Y48-X48-W48</f>
        <v>-618</v>
      </c>
      <c r="AA48" s="445">
        <f t="shared" si="31"/>
        <v>-2393</v>
      </c>
      <c r="AB48" s="227">
        <v>0</v>
      </c>
      <c r="AC48" s="19">
        <v>0</v>
      </c>
      <c r="AD48" s="19">
        <v>0</v>
      </c>
      <c r="AE48" s="90">
        <v>-1114</v>
      </c>
      <c r="AF48" s="207">
        <f t="shared" si="32"/>
        <v>-1114</v>
      </c>
      <c r="AG48" s="227">
        <v>0</v>
      </c>
      <c r="AH48" s="19">
        <v>0</v>
      </c>
      <c r="AI48" s="19">
        <v>0</v>
      </c>
      <c r="AJ48" s="90">
        <v>0</v>
      </c>
      <c r="AK48" s="207">
        <f t="shared" si="33"/>
        <v>0</v>
      </c>
      <c r="AL48" s="227">
        <v>-249</v>
      </c>
      <c r="AM48" s="19">
        <f>-498-AL48</f>
        <v>-249</v>
      </c>
      <c r="AN48" s="19">
        <f>-1473-AM48-AL48</f>
        <v>-975</v>
      </c>
      <c r="AO48" s="90">
        <f>-4184-AN48-AM48-AL48</f>
        <v>-2711</v>
      </c>
      <c r="AP48" s="207">
        <f t="shared" si="34"/>
        <v>-4184</v>
      </c>
      <c r="AQ48" s="227">
        <v>-2931</v>
      </c>
      <c r="AR48" s="19">
        <f>-5024-AQ48</f>
        <v>-2093</v>
      </c>
      <c r="AS48" s="19">
        <f>-6794-AR48-AQ48</f>
        <v>-1770</v>
      </c>
      <c r="AT48" s="90">
        <f>-10348-AS48-AR48-AQ48</f>
        <v>-3554</v>
      </c>
      <c r="AU48" s="207">
        <f t="shared" si="35"/>
        <v>-10348</v>
      </c>
      <c r="AV48" s="227">
        <v>-1285</v>
      </c>
      <c r="AW48" s="19">
        <f>-2179-AV48</f>
        <v>-894</v>
      </c>
      <c r="AX48" s="19">
        <f>-4219-SUM(AV48:AW48)</f>
        <v>-2040</v>
      </c>
      <c r="AY48" s="90">
        <f>-8509-SUM(AV48:AX48)</f>
        <v>-4290</v>
      </c>
      <c r="AZ48" s="207">
        <f t="shared" si="36"/>
        <v>-8509</v>
      </c>
      <c r="BA48" s="227">
        <v>-1440</v>
      </c>
      <c r="BB48" s="19">
        <f>-1885-BA48</f>
        <v>-445</v>
      </c>
      <c r="BC48" s="19">
        <f>-2793-BB48-BA48</f>
        <v>-908</v>
      </c>
      <c r="BD48" s="90">
        <f>-6978-SUM(BA48:BC48)</f>
        <v>-4185</v>
      </c>
      <c r="BE48" s="207">
        <f t="shared" si="37"/>
        <v>-6978</v>
      </c>
      <c r="BF48" s="227">
        <v>-2734</v>
      </c>
      <c r="BG48" s="19">
        <f>-7149-BF48</f>
        <v>-4415</v>
      </c>
      <c r="BH48" s="19">
        <f>-9130-BF48-BG48</f>
        <v>-1981</v>
      </c>
      <c r="BI48" s="90">
        <f>-14035-BH48-BG48-BF48</f>
        <v>-4905</v>
      </c>
      <c r="BJ48" s="207">
        <f t="shared" si="38"/>
        <v>-14035</v>
      </c>
      <c r="BK48" s="227">
        <v>-1691</v>
      </c>
      <c r="BL48" s="19">
        <f t="shared" si="40"/>
        <v>-3136</v>
      </c>
      <c r="BM48" s="19"/>
      <c r="BN48" s="90"/>
      <c r="BO48" s="207">
        <v>-4827</v>
      </c>
    </row>
    <row r="49" spans="2:67" ht="13">
      <c r="B49" s="177" t="s">
        <v>200</v>
      </c>
      <c r="C49" s="240">
        <v>276</v>
      </c>
      <c r="D49" s="240">
        <f>733-C49</f>
        <v>457</v>
      </c>
      <c r="E49" s="240">
        <f>830-C49-D49</f>
        <v>97</v>
      </c>
      <c r="F49" s="168">
        <f>830-C49-D49-E49</f>
        <v>0</v>
      </c>
      <c r="G49" s="182">
        <f t="shared" si="27"/>
        <v>830</v>
      </c>
      <c r="H49" s="240">
        <v>0</v>
      </c>
      <c r="I49" s="240">
        <f>0-H49</f>
        <v>0</v>
      </c>
      <c r="J49" s="240">
        <f>0-H49-I49</f>
        <v>0</v>
      </c>
      <c r="K49" s="168">
        <f>0-H49-I49-J49</f>
        <v>0</v>
      </c>
      <c r="L49" s="182">
        <v>0</v>
      </c>
      <c r="M49" s="240">
        <v>0</v>
      </c>
      <c r="N49" s="240">
        <f>0-M49</f>
        <v>0</v>
      </c>
      <c r="O49" s="89">
        <f>0-M49-N49</f>
        <v>0</v>
      </c>
      <c r="P49" s="90">
        <v>0</v>
      </c>
      <c r="Q49" s="445">
        <f t="shared" si="29"/>
        <v>0</v>
      </c>
      <c r="R49" s="227">
        <v>150</v>
      </c>
      <c r="S49" s="89">
        <v>1620</v>
      </c>
      <c r="T49" s="89">
        <f>9690-R49-S49</f>
        <v>7920</v>
      </c>
      <c r="U49" s="90">
        <f>9690-T49-S49-R49</f>
        <v>0</v>
      </c>
      <c r="V49" s="445">
        <f t="shared" si="30"/>
        <v>9690</v>
      </c>
      <c r="W49" s="227">
        <v>800</v>
      </c>
      <c r="X49" s="89">
        <f>950-W49</f>
        <v>150</v>
      </c>
      <c r="Y49" s="89">
        <f>1350-X49-W49</f>
        <v>400</v>
      </c>
      <c r="Z49" s="90">
        <f>5540-Y49-X49-W49</f>
        <v>4190</v>
      </c>
      <c r="AA49" s="445">
        <f t="shared" si="31"/>
        <v>5540</v>
      </c>
      <c r="AB49" s="227">
        <v>625</v>
      </c>
      <c r="AC49" s="19">
        <v>1370</v>
      </c>
      <c r="AD49" s="19">
        <v>550</v>
      </c>
      <c r="AE49" s="90">
        <v>0</v>
      </c>
      <c r="AF49" s="207">
        <f t="shared" si="32"/>
        <v>2545</v>
      </c>
      <c r="AG49" s="227">
        <v>250</v>
      </c>
      <c r="AH49" s="19">
        <f>900-AG49</f>
        <v>650</v>
      </c>
      <c r="AI49" s="19">
        <f>1149-AH49-AG49</f>
        <v>249</v>
      </c>
      <c r="AJ49" s="90">
        <f>1149-AI49-AH49-AG49</f>
        <v>0</v>
      </c>
      <c r="AK49" s="207">
        <f t="shared" si="33"/>
        <v>1149</v>
      </c>
      <c r="AL49" s="227">
        <v>0</v>
      </c>
      <c r="AM49" s="19">
        <f>500-AL49</f>
        <v>500</v>
      </c>
      <c r="AN49" s="19">
        <f>500-AM49-AL49</f>
        <v>0</v>
      </c>
      <c r="AO49" s="90">
        <f>787-AN49-AM49-AL49</f>
        <v>287</v>
      </c>
      <c r="AP49" s="207">
        <f t="shared" si="34"/>
        <v>787</v>
      </c>
      <c r="AQ49" s="227">
        <v>2188</v>
      </c>
      <c r="AR49" s="19">
        <f>3138-AQ49</f>
        <v>950</v>
      </c>
      <c r="AS49" s="19">
        <f>7605-AR49-AQ49</f>
        <v>4467</v>
      </c>
      <c r="AT49" s="90">
        <f>10404-AS49-AR49-AQ49</f>
        <v>2799</v>
      </c>
      <c r="AU49" s="207">
        <f t="shared" si="35"/>
        <v>10404</v>
      </c>
      <c r="AV49" s="227">
        <v>3974</v>
      </c>
      <c r="AW49" s="19">
        <f>4912-AV49</f>
        <v>938</v>
      </c>
      <c r="AX49" s="19">
        <f>5981-SUM(AV49:AW49)</f>
        <v>1069</v>
      </c>
      <c r="AY49" s="90">
        <f>9205-SUM(AV49:AX49)</f>
        <v>3224</v>
      </c>
      <c r="AZ49" s="207">
        <f t="shared" si="36"/>
        <v>9205</v>
      </c>
      <c r="BA49" s="227">
        <v>2820</v>
      </c>
      <c r="BB49" s="19">
        <f>3970-BA49</f>
        <v>1150</v>
      </c>
      <c r="BC49" s="19">
        <f>5199-BB49-BA49</f>
        <v>1229</v>
      </c>
      <c r="BD49" s="90">
        <f>6688-SUM(BA49:BC49)</f>
        <v>1489</v>
      </c>
      <c r="BE49" s="207">
        <f t="shared" si="37"/>
        <v>6688</v>
      </c>
      <c r="BF49" s="227">
        <v>4831</v>
      </c>
      <c r="BG49" s="19">
        <f>5857-BF49-1</f>
        <v>1025</v>
      </c>
      <c r="BH49" s="19">
        <f>9517-BF49-BG49-1</f>
        <v>3660</v>
      </c>
      <c r="BI49" s="90">
        <f>9767-BH49-BG49-BF49</f>
        <v>251</v>
      </c>
      <c r="BJ49" s="207">
        <f>SUM(BF49:BI49)</f>
        <v>9767</v>
      </c>
      <c r="BK49" s="227">
        <v>4650</v>
      </c>
      <c r="BL49" s="19">
        <f t="shared" si="40"/>
        <v>4200</v>
      </c>
      <c r="BM49" s="19"/>
      <c r="BN49" s="90"/>
      <c r="BO49" s="207">
        <v>8850</v>
      </c>
    </row>
    <row r="50" spans="2:67" ht="13">
      <c r="B50" s="392" t="s">
        <v>201</v>
      </c>
      <c r="C50" s="446">
        <v>0</v>
      </c>
      <c r="D50" s="446">
        <f>-1-C50</f>
        <v>-1</v>
      </c>
      <c r="E50" s="446">
        <f>-1-D50</f>
        <v>0</v>
      </c>
      <c r="F50" s="447">
        <f>-1-C50-D50-E50</f>
        <v>0</v>
      </c>
      <c r="G50" s="442">
        <f t="shared" si="27"/>
        <v>-1</v>
      </c>
      <c r="H50" s="444">
        <v>0</v>
      </c>
      <c r="I50" s="446">
        <f>-201-H50</f>
        <v>-201</v>
      </c>
      <c r="J50" s="446">
        <f>-243-H50-I50</f>
        <v>-42</v>
      </c>
      <c r="K50" s="447">
        <f>-302-H50-I50-J50</f>
        <v>-59</v>
      </c>
      <c r="L50" s="442">
        <f t="shared" si="28"/>
        <v>-302</v>
      </c>
      <c r="M50" s="19">
        <v>-5</v>
      </c>
      <c r="N50" s="89">
        <f>-159-M50</f>
        <v>-154</v>
      </c>
      <c r="O50" s="89">
        <f>-3602-M50-N50</f>
        <v>-3443</v>
      </c>
      <c r="P50" s="90">
        <v>-676</v>
      </c>
      <c r="Q50" s="445">
        <f t="shared" si="29"/>
        <v>-4278</v>
      </c>
      <c r="R50" s="450">
        <v>-1</v>
      </c>
      <c r="S50" s="89">
        <v>-104</v>
      </c>
      <c r="T50" s="89">
        <f>-105-R50-S50</f>
        <v>0</v>
      </c>
      <c r="U50" s="90">
        <f>-106-T50-S50-R50</f>
        <v>-1</v>
      </c>
      <c r="V50" s="445">
        <f t="shared" si="30"/>
        <v>-106</v>
      </c>
      <c r="W50" s="450">
        <v>-17</v>
      </c>
      <c r="X50" s="89">
        <f>-17-W50</f>
        <v>0</v>
      </c>
      <c r="Y50" s="89">
        <f>-17-X50-W50</f>
        <v>0</v>
      </c>
      <c r="Z50" s="90">
        <f>-1015-Y50-X50-W50</f>
        <v>-998</v>
      </c>
      <c r="AA50" s="445">
        <f t="shared" si="31"/>
        <v>-1015</v>
      </c>
      <c r="AB50" s="450">
        <v>-765</v>
      </c>
      <c r="AC50" s="451">
        <v>-867</v>
      </c>
      <c r="AD50" s="451">
        <v>-733</v>
      </c>
      <c r="AE50" s="90">
        <v>-208</v>
      </c>
      <c r="AF50" s="207">
        <f t="shared" si="32"/>
        <v>-2573</v>
      </c>
      <c r="AG50" s="450">
        <v>-3076</v>
      </c>
      <c r="AH50" s="451">
        <f>-5493-AG50</f>
        <v>-2417</v>
      </c>
      <c r="AI50" s="451">
        <f>-7038-AH50-AG50</f>
        <v>-1545</v>
      </c>
      <c r="AJ50" s="90">
        <f>-11517-AI50-AH50-AG50</f>
        <v>-4479</v>
      </c>
      <c r="AK50" s="207">
        <f t="shared" si="33"/>
        <v>-11517</v>
      </c>
      <c r="AL50" s="450">
        <v>-404</v>
      </c>
      <c r="AM50" s="451">
        <f>-807-AL50</f>
        <v>-403</v>
      </c>
      <c r="AN50" s="451">
        <f>-3516-AM50-AL50</f>
        <v>-2709</v>
      </c>
      <c r="AO50" s="90">
        <f>-5863-AN50-AM50-AL50</f>
        <v>-2347</v>
      </c>
      <c r="AP50" s="207">
        <f t="shared" si="34"/>
        <v>-5863</v>
      </c>
      <c r="AQ50" s="450">
        <v>-1545</v>
      </c>
      <c r="AR50" s="451">
        <f>-1831-AQ50</f>
        <v>-286</v>
      </c>
      <c r="AS50" s="451">
        <f>-1831-AR50-AQ50</f>
        <v>0</v>
      </c>
      <c r="AT50" s="90">
        <f>-1845-AS50-AR50-AQ50</f>
        <v>-14</v>
      </c>
      <c r="AU50" s="207">
        <f t="shared" si="35"/>
        <v>-1845</v>
      </c>
      <c r="AV50" s="450">
        <v>-104</v>
      </c>
      <c r="AW50" s="451">
        <f>-104-AV50</f>
        <v>0</v>
      </c>
      <c r="AX50" s="451">
        <f>-337-SUM(AV50:AW50)</f>
        <v>-233</v>
      </c>
      <c r="AY50" s="90">
        <f>-1526-SUM(AV50:AX50)</f>
        <v>-1189</v>
      </c>
      <c r="AZ50" s="207">
        <f t="shared" si="36"/>
        <v>-1526</v>
      </c>
      <c r="BA50" s="450">
        <v>-1051</v>
      </c>
      <c r="BB50" s="451">
        <f>-1053-BA50</f>
        <v>-2</v>
      </c>
      <c r="BC50" s="451">
        <f>-1363-BB50-BA50</f>
        <v>-310</v>
      </c>
      <c r="BD50" s="90">
        <f>-3242-SUM(BA50:BC50)</f>
        <v>-1879</v>
      </c>
      <c r="BE50" s="207">
        <f t="shared" si="37"/>
        <v>-3242</v>
      </c>
      <c r="BF50" s="450">
        <v>-1652</v>
      </c>
      <c r="BG50" s="451">
        <f>-3191-BF50</f>
        <v>-1539</v>
      </c>
      <c r="BH50" s="451">
        <f>-4103-BF50-BG50</f>
        <v>-912</v>
      </c>
      <c r="BI50" s="90">
        <f>-6450-BH50-BG50-BF50</f>
        <v>-2347</v>
      </c>
      <c r="BJ50" s="207">
        <f t="shared" si="38"/>
        <v>-6450</v>
      </c>
      <c r="BK50" s="450">
        <v>-1426</v>
      </c>
      <c r="BL50" s="451">
        <f t="shared" si="40"/>
        <v>-968</v>
      </c>
      <c r="BM50" s="451"/>
      <c r="BN50" s="90"/>
      <c r="BO50" s="207">
        <v>-2394</v>
      </c>
    </row>
    <row r="51" spans="2:67" ht="13">
      <c r="B51" s="392" t="s">
        <v>202</v>
      </c>
      <c r="C51" s="446">
        <v>0</v>
      </c>
      <c r="D51" s="446">
        <v>0</v>
      </c>
      <c r="E51" s="446">
        <v>0</v>
      </c>
      <c r="F51" s="447">
        <v>0</v>
      </c>
      <c r="G51" s="442">
        <f t="shared" si="27"/>
        <v>0</v>
      </c>
      <c r="H51" s="444">
        <v>0</v>
      </c>
      <c r="I51" s="446">
        <f>0-H51</f>
        <v>0</v>
      </c>
      <c r="J51" s="446">
        <v>0</v>
      </c>
      <c r="K51" s="447">
        <v>0</v>
      </c>
      <c r="L51" s="442">
        <f t="shared" si="28"/>
        <v>0</v>
      </c>
      <c r="M51" s="19">
        <v>4</v>
      </c>
      <c r="N51" s="89">
        <f>4-M51</f>
        <v>0</v>
      </c>
      <c r="O51" s="89">
        <f>4-M51-N51</f>
        <v>0</v>
      </c>
      <c r="P51" s="90">
        <v>3</v>
      </c>
      <c r="Q51" s="445">
        <f t="shared" si="29"/>
        <v>7</v>
      </c>
      <c r="R51" s="450">
        <v>4</v>
      </c>
      <c r="S51" s="89">
        <v>0</v>
      </c>
      <c r="T51" s="89">
        <f>10-R51-S51</f>
        <v>6</v>
      </c>
      <c r="U51" s="90">
        <f>115-T51-S51-R51</f>
        <v>105</v>
      </c>
      <c r="V51" s="445">
        <f t="shared" si="30"/>
        <v>115</v>
      </c>
      <c r="W51" s="450">
        <v>303</v>
      </c>
      <c r="X51" s="89">
        <f>303-W51</f>
        <v>0</v>
      </c>
      <c r="Y51" s="89">
        <f>343-X51-W51</f>
        <v>40</v>
      </c>
      <c r="Z51" s="90">
        <f>862-Y51-X51-W51</f>
        <v>519</v>
      </c>
      <c r="AA51" s="445">
        <f t="shared" si="31"/>
        <v>862</v>
      </c>
      <c r="AB51" s="450">
        <v>1208</v>
      </c>
      <c r="AC51" s="451">
        <v>1363</v>
      </c>
      <c r="AD51" s="451">
        <f>513+23</f>
        <v>536</v>
      </c>
      <c r="AE51" s="90">
        <f>69+205+268</f>
        <v>542</v>
      </c>
      <c r="AF51" s="207">
        <f t="shared" si="32"/>
        <v>3649</v>
      </c>
      <c r="AG51" s="450">
        <v>1167</v>
      </c>
      <c r="AH51" s="451">
        <f>2249-AG51</f>
        <v>1082</v>
      </c>
      <c r="AI51" s="451">
        <f>3555-AH51-AG51</f>
        <v>1306</v>
      </c>
      <c r="AJ51" s="90">
        <f>3955-AI51-AH51-AG51</f>
        <v>400</v>
      </c>
      <c r="AK51" s="207">
        <f t="shared" si="33"/>
        <v>3955</v>
      </c>
      <c r="AL51" s="450">
        <v>50</v>
      </c>
      <c r="AM51" s="451">
        <f>2635-AL51</f>
        <v>2585</v>
      </c>
      <c r="AN51" s="451">
        <f>3528-AM51-AL51</f>
        <v>893</v>
      </c>
      <c r="AO51" s="90">
        <f>3658+20-AN51-AM51-AL51</f>
        <v>150</v>
      </c>
      <c r="AP51" s="207">
        <f t="shared" si="34"/>
        <v>3678</v>
      </c>
      <c r="AQ51" s="450">
        <v>931</v>
      </c>
      <c r="AR51" s="451">
        <f>1627-AQ51</f>
        <v>696</v>
      </c>
      <c r="AS51" s="451">
        <f>2190-AR51-AQ51</f>
        <v>563</v>
      </c>
      <c r="AT51" s="90">
        <f>2573-AS51-AR51-AQ51</f>
        <v>383</v>
      </c>
      <c r="AU51" s="207">
        <f t="shared" si="35"/>
        <v>2573</v>
      </c>
      <c r="AV51" s="450">
        <v>601</v>
      </c>
      <c r="AW51" s="451">
        <f>1174-AV51</f>
        <v>573</v>
      </c>
      <c r="AX51" s="451">
        <f>1429-SUM(AV51:AW51)</f>
        <v>255</v>
      </c>
      <c r="AY51" s="90">
        <f>1684-SUM(AV51:AX51)</f>
        <v>255</v>
      </c>
      <c r="AZ51" s="207">
        <f t="shared" si="36"/>
        <v>1684</v>
      </c>
      <c r="BA51" s="450">
        <v>690</v>
      </c>
      <c r="BB51" s="451">
        <f>1230-BA51</f>
        <v>540</v>
      </c>
      <c r="BC51" s="451">
        <f>1961-BB51-BA51</f>
        <v>731</v>
      </c>
      <c r="BD51" s="90">
        <f>3155-SUM(BA51:BC51)</f>
        <v>1194</v>
      </c>
      <c r="BE51" s="207">
        <f t="shared" si="37"/>
        <v>3155</v>
      </c>
      <c r="BF51" s="450">
        <v>2998</v>
      </c>
      <c r="BG51" s="451">
        <f>6174-BF51</f>
        <v>3176</v>
      </c>
      <c r="BH51" s="451">
        <f>8632-BF51-BG51</f>
        <v>2458</v>
      </c>
      <c r="BI51" s="90">
        <f>10720-BH51-BG51-BF51</f>
        <v>2088</v>
      </c>
      <c r="BJ51" s="207">
        <f t="shared" si="38"/>
        <v>10720</v>
      </c>
      <c r="BK51" s="450">
        <v>1234</v>
      </c>
      <c r="BL51" s="451">
        <f t="shared" si="40"/>
        <v>304</v>
      </c>
      <c r="BM51" s="451"/>
      <c r="BN51" s="90"/>
      <c r="BO51" s="207">
        <v>1538</v>
      </c>
    </row>
    <row r="52" spans="2:67" ht="13">
      <c r="B52" s="176" t="s">
        <v>492</v>
      </c>
      <c r="C52" s="239">
        <v>-6279</v>
      </c>
      <c r="D52" s="239">
        <f>-12039-C52</f>
        <v>-5760</v>
      </c>
      <c r="E52" s="239">
        <f>-16791-C52-D52</f>
        <v>-4752</v>
      </c>
      <c r="F52" s="167">
        <f>-23892-C52-D52-E52</f>
        <v>-7101</v>
      </c>
      <c r="G52" s="182">
        <f t="shared" si="27"/>
        <v>-23892</v>
      </c>
      <c r="H52" s="245">
        <v>-8304</v>
      </c>
      <c r="I52" s="246">
        <f>-13664-H52</f>
        <v>-5360</v>
      </c>
      <c r="J52" s="246">
        <f>-19493-H52-I52</f>
        <v>-5829</v>
      </c>
      <c r="K52" s="170">
        <f>-24171-H52-I52-J52</f>
        <v>-4678</v>
      </c>
      <c r="L52" s="182">
        <f t="shared" si="28"/>
        <v>-24171</v>
      </c>
      <c r="M52" s="19">
        <v>-10669</v>
      </c>
      <c r="N52" s="89">
        <f>-20217-M52</f>
        <v>-9548</v>
      </c>
      <c r="O52" s="89">
        <f>-37285-M52-N52</f>
        <v>-17068</v>
      </c>
      <c r="P52" s="29">
        <v>-16930</v>
      </c>
      <c r="Q52" s="445">
        <f t="shared" si="29"/>
        <v>-54215</v>
      </c>
      <c r="R52" s="227">
        <v>-16472</v>
      </c>
      <c r="S52" s="89">
        <v>-9292</v>
      </c>
      <c r="T52" s="89">
        <f>-47880-R52-S52</f>
        <v>-22116</v>
      </c>
      <c r="U52" s="90">
        <f>-62063-T52-S52-R52</f>
        <v>-14183</v>
      </c>
      <c r="V52" s="445">
        <f t="shared" si="30"/>
        <v>-62063</v>
      </c>
      <c r="W52" s="227">
        <v>-23922</v>
      </c>
      <c r="X52" s="89">
        <f>-39650-W52</f>
        <v>-15728</v>
      </c>
      <c r="Y52" s="89">
        <f>-58478-X52-W52</f>
        <v>-18828</v>
      </c>
      <c r="Z52" s="90">
        <f>-78355-Y52-X52-W52</f>
        <v>-19877</v>
      </c>
      <c r="AA52" s="445">
        <f t="shared" si="31"/>
        <v>-78355</v>
      </c>
      <c r="AB52" s="89">
        <v>-10071</v>
      </c>
      <c r="AC52" s="89">
        <v>-8224</v>
      </c>
      <c r="AD52" s="89">
        <v>-8325</v>
      </c>
      <c r="AE52" s="90">
        <v>-8219</v>
      </c>
      <c r="AF52" s="207">
        <f t="shared" ref="AF52:AF60" si="41">SUM(AB52:AE52)</f>
        <v>-34839</v>
      </c>
      <c r="AG52" s="89">
        <v>-5050</v>
      </c>
      <c r="AH52" s="89">
        <f>-11960-AG52</f>
        <v>-6910</v>
      </c>
      <c r="AI52" s="89">
        <f>-23601-AH52-AG52</f>
        <v>-11641</v>
      </c>
      <c r="AJ52" s="90">
        <f>-35196-AI52-AH52-AG52</f>
        <v>-11595</v>
      </c>
      <c r="AK52" s="207">
        <f t="shared" ref="AK52:AK60" si="42">SUM(AG52:AJ52)</f>
        <v>-35196</v>
      </c>
      <c r="AL52" s="89">
        <v>-11781</v>
      </c>
      <c r="AM52" s="89">
        <f>-25411-AL52</f>
        <v>-13630</v>
      </c>
      <c r="AN52" s="89">
        <f>-39805-AM52-AL52</f>
        <v>-14394</v>
      </c>
      <c r="AO52" s="90">
        <f>-54064-AN52-AM52-AL52</f>
        <v>-14259</v>
      </c>
      <c r="AP52" s="207">
        <f t="shared" si="34"/>
        <v>-54064</v>
      </c>
      <c r="AQ52" s="89">
        <v>-20745</v>
      </c>
      <c r="AR52" s="89">
        <f>-36310-AQ52</f>
        <v>-15565</v>
      </c>
      <c r="AS52" s="89">
        <f>-54567-AR52-AQ52</f>
        <v>-18257</v>
      </c>
      <c r="AT52" s="90">
        <f>-70631-AS52-AR52-AQ52</f>
        <v>-16064</v>
      </c>
      <c r="AU52" s="207">
        <f t="shared" si="35"/>
        <v>-70631</v>
      </c>
      <c r="AV52" s="89">
        <v>-17680</v>
      </c>
      <c r="AW52" s="89">
        <f>-33038-AV52</f>
        <v>-15358</v>
      </c>
      <c r="AX52" s="89">
        <f>-53255-SUM(AV52:AW52)</f>
        <v>-20217</v>
      </c>
      <c r="AY52" s="90">
        <f>-66191-SUM(AV52:AX52)</f>
        <v>-12936</v>
      </c>
      <c r="AZ52" s="207">
        <f t="shared" si="36"/>
        <v>-66191</v>
      </c>
      <c r="BA52" s="89">
        <v>-16989</v>
      </c>
      <c r="BB52" s="89">
        <f>-33517-BA52</f>
        <v>-16528</v>
      </c>
      <c r="BC52" s="89">
        <f>-54887-BB52-BA52</f>
        <v>-21370</v>
      </c>
      <c r="BD52" s="90">
        <f>-73048-SUM(BA52:BC52)</f>
        <v>-18161</v>
      </c>
      <c r="BE52" s="207">
        <f t="shared" si="37"/>
        <v>-73048</v>
      </c>
      <c r="BF52" s="89">
        <v>-17237</v>
      </c>
      <c r="BG52" s="89">
        <f>-36091-BF52</f>
        <v>-18854</v>
      </c>
      <c r="BH52" s="89">
        <f>-56082-BF52-BG52</f>
        <v>-19991</v>
      </c>
      <c r="BI52" s="90">
        <f>-72878-BH52-BG52-BF52</f>
        <v>-16796</v>
      </c>
      <c r="BJ52" s="207">
        <f t="shared" si="38"/>
        <v>-72878</v>
      </c>
      <c r="BK52" s="89">
        <v>-19644</v>
      </c>
      <c r="BL52" s="89">
        <f t="shared" si="40"/>
        <v>-19669</v>
      </c>
      <c r="BM52" s="89"/>
      <c r="BN52" s="90"/>
      <c r="BO52" s="207">
        <v>-39313</v>
      </c>
    </row>
    <row r="53" spans="2:67" ht="13">
      <c r="B53" s="176" t="s">
        <v>493</v>
      </c>
      <c r="C53" s="239">
        <v>5702</v>
      </c>
      <c r="D53" s="239">
        <f>10487-C53</f>
        <v>4785</v>
      </c>
      <c r="E53" s="239">
        <f>17489-C53-D53</f>
        <v>7002</v>
      </c>
      <c r="F53" s="167">
        <f>25096-C53-D53-E53</f>
        <v>7607</v>
      </c>
      <c r="G53" s="182">
        <f t="shared" si="27"/>
        <v>25096</v>
      </c>
      <c r="H53" s="245">
        <v>8415</v>
      </c>
      <c r="I53" s="246">
        <f>13932-H53</f>
        <v>5517</v>
      </c>
      <c r="J53" s="246">
        <f>19891-H53-I53</f>
        <v>5959</v>
      </c>
      <c r="K53" s="170">
        <f>24947-H53-I53-J53</f>
        <v>5056</v>
      </c>
      <c r="L53" s="182">
        <f t="shared" si="28"/>
        <v>24947</v>
      </c>
      <c r="M53" s="295">
        <v>10183</v>
      </c>
      <c r="N53" s="89">
        <f>18159-M53</f>
        <v>7976</v>
      </c>
      <c r="O53" s="89">
        <f>33047-M53-N53</f>
        <v>14888</v>
      </c>
      <c r="P53" s="29">
        <v>18994</v>
      </c>
      <c r="Q53" s="445">
        <f t="shared" si="29"/>
        <v>52041</v>
      </c>
      <c r="R53" s="450">
        <v>16774</v>
      </c>
      <c r="S53" s="89">
        <v>6296</v>
      </c>
      <c r="T53" s="89">
        <f>48915-R53-S53</f>
        <v>25845</v>
      </c>
      <c r="U53" s="90">
        <f>64163-T53-S53-R53</f>
        <v>15248</v>
      </c>
      <c r="V53" s="445">
        <f t="shared" si="30"/>
        <v>64163</v>
      </c>
      <c r="W53" s="450">
        <v>22499</v>
      </c>
      <c r="X53" s="89">
        <f>38935-W53</f>
        <v>16436</v>
      </c>
      <c r="Y53" s="89">
        <f>56482-X53-W53+1</f>
        <v>17548</v>
      </c>
      <c r="Z53" s="90">
        <f>76821-Y53-X53-W53+1</f>
        <v>20339</v>
      </c>
      <c r="AA53" s="445">
        <f>SUM(W53:Z53)-1</f>
        <v>76821</v>
      </c>
      <c r="AB53" s="89">
        <v>10796</v>
      </c>
      <c r="AC53" s="89">
        <v>8150</v>
      </c>
      <c r="AD53" s="89">
        <v>8139</v>
      </c>
      <c r="AE53" s="90">
        <v>7600</v>
      </c>
      <c r="AF53" s="207">
        <f t="shared" si="41"/>
        <v>34685</v>
      </c>
      <c r="AG53" s="89">
        <v>5785</v>
      </c>
      <c r="AH53" s="89">
        <f>11850-AG53</f>
        <v>6065</v>
      </c>
      <c r="AI53" s="89">
        <f>23635-AH53-AG53</f>
        <v>11785</v>
      </c>
      <c r="AJ53" s="90">
        <f>36353-AI53-AH53-AG53</f>
        <v>12718</v>
      </c>
      <c r="AK53" s="207">
        <f t="shared" si="42"/>
        <v>36353</v>
      </c>
      <c r="AL53" s="89">
        <v>10012</v>
      </c>
      <c r="AM53" s="89">
        <f>22928-AL53</f>
        <v>12916</v>
      </c>
      <c r="AN53" s="89">
        <f>38903-AM53-AL53</f>
        <v>15975</v>
      </c>
      <c r="AO53" s="90">
        <f>53669-AN53-AM53-AL53</f>
        <v>14766</v>
      </c>
      <c r="AP53" s="207">
        <f t="shared" si="34"/>
        <v>53669</v>
      </c>
      <c r="AQ53" s="89">
        <v>21097</v>
      </c>
      <c r="AR53" s="89">
        <f>34336-AQ53</f>
        <v>13239</v>
      </c>
      <c r="AS53" s="89">
        <f>53546-AR53-AQ53</f>
        <v>19210</v>
      </c>
      <c r="AT53" s="90">
        <f>71851-AS53-AR53-AQ53</f>
        <v>18305</v>
      </c>
      <c r="AU53" s="207">
        <f t="shared" si="35"/>
        <v>71851</v>
      </c>
      <c r="AV53" s="89">
        <v>17304</v>
      </c>
      <c r="AW53" s="89">
        <f>31292-AV53</f>
        <v>13988</v>
      </c>
      <c r="AX53" s="89">
        <f>52238-SUM(AV53:AW53)</f>
        <v>20946</v>
      </c>
      <c r="AY53" s="90">
        <f>64767-SUM(AV53:AX53)</f>
        <v>12529</v>
      </c>
      <c r="AZ53" s="207">
        <f t="shared" si="36"/>
        <v>64767</v>
      </c>
      <c r="BA53" s="89">
        <v>15975</v>
      </c>
      <c r="BB53" s="89">
        <f>34012-BA53</f>
        <v>18037</v>
      </c>
      <c r="BC53" s="89">
        <f>54843-BB53-BA53</f>
        <v>20831</v>
      </c>
      <c r="BD53" s="90">
        <f>73987-SUM(BA53:BC53)</f>
        <v>19144</v>
      </c>
      <c r="BE53" s="207">
        <f t="shared" si="37"/>
        <v>73987</v>
      </c>
      <c r="BF53" s="89">
        <v>15746</v>
      </c>
      <c r="BG53" s="89">
        <f>32967-BF53</f>
        <v>17221</v>
      </c>
      <c r="BH53" s="89">
        <f>56255-BF53-BG53</f>
        <v>23288</v>
      </c>
      <c r="BI53" s="90">
        <f>72682-BH53-BG53-BF53</f>
        <v>16427</v>
      </c>
      <c r="BJ53" s="207">
        <f t="shared" si="38"/>
        <v>72682</v>
      </c>
      <c r="BK53" s="89">
        <v>21435</v>
      </c>
      <c r="BL53" s="89">
        <f t="shared" si="40"/>
        <v>15353</v>
      </c>
      <c r="BM53" s="89"/>
      <c r="BN53" s="90"/>
      <c r="BO53" s="207">
        <v>36788</v>
      </c>
    </row>
    <row r="54" spans="2:67" ht="13">
      <c r="B54" s="176" t="s">
        <v>203</v>
      </c>
      <c r="C54" s="239"/>
      <c r="D54" s="239"/>
      <c r="E54" s="239"/>
      <c r="F54" s="167"/>
      <c r="G54" s="182"/>
      <c r="H54" s="245"/>
      <c r="I54" s="246"/>
      <c r="J54" s="246"/>
      <c r="K54" s="170"/>
      <c r="L54" s="182"/>
      <c r="M54" s="295"/>
      <c r="N54" s="89"/>
      <c r="O54" s="89"/>
      <c r="P54" s="29"/>
      <c r="Q54" s="445"/>
      <c r="R54" s="451"/>
      <c r="S54" s="89"/>
      <c r="T54" s="89"/>
      <c r="U54" s="90">
        <f>-291-T54-S54-R54</f>
        <v>-291</v>
      </c>
      <c r="V54" s="445">
        <f t="shared" si="30"/>
        <v>-291</v>
      </c>
      <c r="W54" s="89">
        <v>0</v>
      </c>
      <c r="X54" s="89">
        <v>0</v>
      </c>
      <c r="Y54" s="89"/>
      <c r="Z54" s="90">
        <f>-491-Y54-X54-W54</f>
        <v>-491</v>
      </c>
      <c r="AA54" s="445">
        <f t="shared" si="31"/>
        <v>-491</v>
      </c>
      <c r="AB54" s="89">
        <v>0</v>
      </c>
      <c r="AC54" s="89">
        <v>0</v>
      </c>
      <c r="AD54" s="89">
        <v>0</v>
      </c>
      <c r="AE54" s="90">
        <v>0</v>
      </c>
      <c r="AF54" s="207">
        <f t="shared" si="41"/>
        <v>0</v>
      </c>
      <c r="AG54" s="89">
        <v>0</v>
      </c>
      <c r="AH54" s="89">
        <v>0</v>
      </c>
      <c r="AI54" s="89">
        <v>0</v>
      </c>
      <c r="AJ54" s="90">
        <v>0</v>
      </c>
      <c r="AK54" s="207">
        <f t="shared" si="42"/>
        <v>0</v>
      </c>
      <c r="AL54" s="89">
        <v>0</v>
      </c>
      <c r="AM54" s="89">
        <v>0</v>
      </c>
      <c r="AN54" s="89">
        <v>0</v>
      </c>
      <c r="AO54" s="89">
        <v>0</v>
      </c>
      <c r="AP54" s="207">
        <f t="shared" si="34"/>
        <v>0</v>
      </c>
      <c r="AQ54" s="89">
        <v>-283</v>
      </c>
      <c r="AR54" s="89">
        <f>-482-AQ54</f>
        <v>-199</v>
      </c>
      <c r="AS54" s="89">
        <f>-2338-AR54-AQ54</f>
        <v>-1856</v>
      </c>
      <c r="AT54" s="89">
        <f>-3003-AS54-AR54-AQ54</f>
        <v>-665</v>
      </c>
      <c r="AU54" s="207">
        <f t="shared" si="35"/>
        <v>-3003</v>
      </c>
      <c r="AV54" s="89">
        <v>-1558</v>
      </c>
      <c r="AW54" s="89">
        <f>-2903-AV54</f>
        <v>-1345</v>
      </c>
      <c r="AX54" s="89">
        <f>-4804-SUM(AV54:AW54)</f>
        <v>-1901</v>
      </c>
      <c r="AY54" s="89">
        <f>-10387-SUM(AV54:AX54)</f>
        <v>-5583</v>
      </c>
      <c r="AZ54" s="207">
        <f t="shared" si="36"/>
        <v>-10387</v>
      </c>
      <c r="BA54" s="89">
        <v>-2226</v>
      </c>
      <c r="BB54" s="89">
        <f>-2227-BA54</f>
        <v>-1</v>
      </c>
      <c r="BC54" s="89">
        <f>-2421-BB54-BA54</f>
        <v>-194</v>
      </c>
      <c r="BD54" s="89">
        <f>-6403-SUM(BA54:BC54)</f>
        <v>-3982</v>
      </c>
      <c r="BE54" s="207">
        <f t="shared" si="37"/>
        <v>-6403</v>
      </c>
      <c r="BF54" s="89">
        <v>-149</v>
      </c>
      <c r="BG54" s="89">
        <f>-2686-BF54-1</f>
        <v>-2538</v>
      </c>
      <c r="BH54" s="89">
        <f>-2686-BF54-BG54</f>
        <v>1</v>
      </c>
      <c r="BI54" s="89">
        <f>-3255-BH54-BG54-BF54</f>
        <v>-569</v>
      </c>
      <c r="BJ54" s="207">
        <f t="shared" ref="BJ54:BJ59" si="43">SUM(BF54:BI54)</f>
        <v>-3255</v>
      </c>
      <c r="BK54" s="89">
        <v>-1340</v>
      </c>
      <c r="BL54" s="89">
        <f t="shared" si="40"/>
        <v>-1477</v>
      </c>
      <c r="BM54" s="89"/>
      <c r="BN54" s="89"/>
      <c r="BO54" s="207">
        <v>-2817</v>
      </c>
    </row>
    <row r="55" spans="2:67" ht="13">
      <c r="B55" s="176" t="s">
        <v>204</v>
      </c>
      <c r="C55" s="239"/>
      <c r="D55" s="239"/>
      <c r="E55" s="239"/>
      <c r="F55" s="167"/>
      <c r="G55" s="182"/>
      <c r="H55" s="245"/>
      <c r="I55" s="246"/>
      <c r="J55" s="246"/>
      <c r="K55" s="170"/>
      <c r="L55" s="182"/>
      <c r="M55" s="295"/>
      <c r="N55" s="89"/>
      <c r="O55" s="89"/>
      <c r="P55" s="29"/>
      <c r="Q55" s="445"/>
      <c r="R55" s="451"/>
      <c r="S55" s="89"/>
      <c r="T55" s="89"/>
      <c r="U55" s="90"/>
      <c r="V55" s="445"/>
      <c r="W55" s="89">
        <v>0</v>
      </c>
      <c r="X55" s="89">
        <f>300-W55</f>
        <v>300</v>
      </c>
      <c r="Y55" s="89">
        <f>300-X55-W55</f>
        <v>0</v>
      </c>
      <c r="Z55" s="90">
        <f>300-Y55-X55-W55</f>
        <v>0</v>
      </c>
      <c r="AA55" s="445">
        <f t="shared" si="31"/>
        <v>300</v>
      </c>
      <c r="AB55" s="89">
        <v>500</v>
      </c>
      <c r="AC55" s="89">
        <v>0</v>
      </c>
      <c r="AD55" s="89">
        <v>0</v>
      </c>
      <c r="AE55" s="90">
        <v>0</v>
      </c>
      <c r="AF55" s="207">
        <f t="shared" si="41"/>
        <v>500</v>
      </c>
      <c r="AG55" s="89">
        <v>0</v>
      </c>
      <c r="AH55" s="89">
        <f>0-AG55</f>
        <v>0</v>
      </c>
      <c r="AI55" s="89">
        <v>0</v>
      </c>
      <c r="AJ55" s="90">
        <v>0</v>
      </c>
      <c r="AK55" s="207">
        <f t="shared" si="42"/>
        <v>0</v>
      </c>
      <c r="AL55" s="89">
        <v>0</v>
      </c>
      <c r="AM55" s="89">
        <v>0</v>
      </c>
      <c r="AN55" s="89">
        <v>0</v>
      </c>
      <c r="AO55" s="89">
        <v>0</v>
      </c>
      <c r="AP55" s="207">
        <f t="shared" si="34"/>
        <v>0</v>
      </c>
      <c r="AQ55" s="89">
        <v>0</v>
      </c>
      <c r="AR55" s="89">
        <f>200-AQ55</f>
        <v>200</v>
      </c>
      <c r="AS55" s="89">
        <f>1300-AR55-AQ55</f>
        <v>1100</v>
      </c>
      <c r="AT55" s="89">
        <f>2298-AS55-AR55-AQ55</f>
        <v>998</v>
      </c>
      <c r="AU55" s="207">
        <f t="shared" si="35"/>
        <v>2298</v>
      </c>
      <c r="AV55" s="89">
        <v>824</v>
      </c>
      <c r="AW55" s="89">
        <f>1254-AV55</f>
        <v>430</v>
      </c>
      <c r="AX55" s="89">
        <f>3599-SUM(AV55:AW55)</f>
        <v>2345</v>
      </c>
      <c r="AY55" s="89">
        <f>6479-SUM(AV55:AX55)</f>
        <v>2880</v>
      </c>
      <c r="AZ55" s="207">
        <f>SUM(AV55:AY55)</f>
        <v>6479</v>
      </c>
      <c r="BA55" s="89">
        <v>7135</v>
      </c>
      <c r="BB55" s="89">
        <f>7135-BA55</f>
        <v>0</v>
      </c>
      <c r="BC55" s="89">
        <f>7135-BB55-BA55</f>
        <v>0</v>
      </c>
      <c r="BD55" s="89">
        <f>7735-SUM(BA55:BC55)</f>
        <v>600</v>
      </c>
      <c r="BE55" s="207">
        <f>SUM(BA55:BD55)</f>
        <v>7735</v>
      </c>
      <c r="BF55" s="89">
        <v>3850</v>
      </c>
      <c r="BG55" s="89">
        <f>4675-BF55</f>
        <v>825</v>
      </c>
      <c r="BH55" s="89">
        <f>5460-BF55-BG55</f>
        <v>785</v>
      </c>
      <c r="BI55" s="89">
        <f>5810-BH55-BG55-BF55</f>
        <v>350</v>
      </c>
      <c r="BJ55" s="207">
        <f t="shared" si="43"/>
        <v>5810</v>
      </c>
      <c r="BK55" s="89">
        <v>2575</v>
      </c>
      <c r="BL55" s="89">
        <f t="shared" si="40"/>
        <v>0</v>
      </c>
      <c r="BM55" s="89"/>
      <c r="BN55" s="89"/>
      <c r="BO55" s="207">
        <v>2575</v>
      </c>
    </row>
    <row r="56" spans="2:67" ht="13">
      <c r="B56" s="176" t="s">
        <v>205</v>
      </c>
      <c r="C56" s="239">
        <v>-30</v>
      </c>
      <c r="D56" s="239">
        <f>-30-C56</f>
        <v>0</v>
      </c>
      <c r="E56" s="239">
        <f>-30-C56-D56</f>
        <v>0</v>
      </c>
      <c r="F56" s="167">
        <f>-30-C56-D56-E56</f>
        <v>0</v>
      </c>
      <c r="G56" s="182">
        <f t="shared" si="27"/>
        <v>-30</v>
      </c>
      <c r="H56" s="246">
        <v>0</v>
      </c>
      <c r="I56" s="246">
        <f>0-H56</f>
        <v>0</v>
      </c>
      <c r="J56" s="246">
        <f>0-H56-I56</f>
        <v>0</v>
      </c>
      <c r="K56" s="170">
        <f>0-H56-I56-J56</f>
        <v>0</v>
      </c>
      <c r="L56" s="182">
        <f t="shared" si="28"/>
        <v>0</v>
      </c>
      <c r="M56" s="246">
        <v>0</v>
      </c>
      <c r="N56" s="246">
        <f>0-M56</f>
        <v>0</v>
      </c>
      <c r="O56" s="89">
        <f>0-M56-N56</f>
        <v>0</v>
      </c>
      <c r="P56" s="90">
        <v>0</v>
      </c>
      <c r="Q56" s="445">
        <f t="shared" si="29"/>
        <v>0</v>
      </c>
      <c r="R56" s="89">
        <v>0</v>
      </c>
      <c r="S56" s="19"/>
      <c r="T56" s="89">
        <v>0</v>
      </c>
      <c r="U56" s="90"/>
      <c r="V56" s="445">
        <f t="shared" si="30"/>
        <v>0</v>
      </c>
      <c r="W56" s="89">
        <v>0</v>
      </c>
      <c r="X56" s="19">
        <v>0</v>
      </c>
      <c r="Y56" s="89">
        <v>0</v>
      </c>
      <c r="Z56" s="90">
        <v>0</v>
      </c>
      <c r="AA56" s="445">
        <f t="shared" si="31"/>
        <v>0</v>
      </c>
      <c r="AB56" s="19">
        <v>0</v>
      </c>
      <c r="AC56" s="19">
        <v>0</v>
      </c>
      <c r="AD56" s="19">
        <v>0</v>
      </c>
      <c r="AE56" s="90">
        <v>0</v>
      </c>
      <c r="AF56" s="207">
        <f t="shared" si="41"/>
        <v>0</v>
      </c>
      <c r="AG56" s="19">
        <v>0</v>
      </c>
      <c r="AH56" s="19">
        <v>0</v>
      </c>
      <c r="AI56" s="19">
        <v>0</v>
      </c>
      <c r="AJ56" s="90">
        <v>0</v>
      </c>
      <c r="AK56" s="207">
        <f t="shared" si="42"/>
        <v>0</v>
      </c>
      <c r="AL56" s="19">
        <v>0</v>
      </c>
      <c r="AM56" s="19">
        <v>0</v>
      </c>
      <c r="AN56" s="19">
        <v>0</v>
      </c>
      <c r="AO56" s="19">
        <v>0</v>
      </c>
      <c r="AP56" s="207">
        <f t="shared" si="34"/>
        <v>0</v>
      </c>
      <c r="AQ56" s="19">
        <v>0</v>
      </c>
      <c r="AR56" s="19">
        <v>0</v>
      </c>
      <c r="AS56" s="19">
        <v>0</v>
      </c>
      <c r="AT56" s="19">
        <v>0</v>
      </c>
      <c r="AU56" s="207">
        <f t="shared" si="35"/>
        <v>0</v>
      </c>
      <c r="AV56" s="19">
        <v>0</v>
      </c>
      <c r="AW56" s="19">
        <v>0</v>
      </c>
      <c r="AX56" s="19">
        <v>0</v>
      </c>
      <c r="AY56" s="19">
        <v>0</v>
      </c>
      <c r="AZ56" s="207">
        <f t="shared" si="36"/>
        <v>0</v>
      </c>
      <c r="BA56" s="19">
        <v>0</v>
      </c>
      <c r="BB56" s="19">
        <v>0</v>
      </c>
      <c r="BC56" s="19">
        <v>0</v>
      </c>
      <c r="BD56" s="19">
        <v>0</v>
      </c>
      <c r="BE56" s="207">
        <f>SUM(BA56:BD56)</f>
        <v>0</v>
      </c>
      <c r="BF56" s="19">
        <v>0</v>
      </c>
      <c r="BG56" s="19">
        <v>0</v>
      </c>
      <c r="BH56" s="19">
        <v>0</v>
      </c>
      <c r="BI56" s="19">
        <v>0</v>
      </c>
      <c r="BJ56" s="207">
        <f t="shared" si="43"/>
        <v>0</v>
      </c>
      <c r="BK56" s="19">
        <v>0</v>
      </c>
      <c r="BL56" s="19">
        <f t="shared" si="40"/>
        <v>0</v>
      </c>
      <c r="BM56" s="19"/>
      <c r="BN56" s="19"/>
      <c r="BO56" s="207">
        <v>0</v>
      </c>
    </row>
    <row r="57" spans="2:67" ht="13">
      <c r="B57" s="452" t="s">
        <v>206</v>
      </c>
      <c r="C57" s="453">
        <v>0</v>
      </c>
      <c r="D57" s="453">
        <f>30-C57</f>
        <v>30</v>
      </c>
      <c r="E57" s="453">
        <f>30-D57-C57</f>
        <v>0</v>
      </c>
      <c r="F57" s="454">
        <f>157-C57-D57-E57</f>
        <v>127</v>
      </c>
      <c r="G57" s="442">
        <f t="shared" si="27"/>
        <v>157</v>
      </c>
      <c r="H57" s="444">
        <v>33</v>
      </c>
      <c r="I57" s="453">
        <f>33-H57</f>
        <v>0</v>
      </c>
      <c r="J57" s="453">
        <f>33-H57-I57</f>
        <v>0</v>
      </c>
      <c r="K57" s="454">
        <f>33-H57-I57-J57</f>
        <v>0</v>
      </c>
      <c r="L57" s="442">
        <f t="shared" si="28"/>
        <v>33</v>
      </c>
      <c r="M57" s="19">
        <v>0</v>
      </c>
      <c r="N57" s="89">
        <f>0-M57</f>
        <v>0</v>
      </c>
      <c r="O57" s="89">
        <f>0-M57-N57</f>
        <v>0</v>
      </c>
      <c r="P57" s="90">
        <v>0</v>
      </c>
      <c r="Q57" s="445">
        <f t="shared" si="29"/>
        <v>0</v>
      </c>
      <c r="R57" s="89">
        <v>0</v>
      </c>
      <c r="S57" s="89"/>
      <c r="T57" s="89">
        <v>0</v>
      </c>
      <c r="U57" s="90"/>
      <c r="V57" s="445">
        <f t="shared" si="30"/>
        <v>0</v>
      </c>
      <c r="W57" s="89">
        <v>0</v>
      </c>
      <c r="X57" s="89">
        <v>0</v>
      </c>
      <c r="Y57" s="89">
        <v>0</v>
      </c>
      <c r="Z57" s="90">
        <v>0</v>
      </c>
      <c r="AA57" s="445">
        <f t="shared" si="31"/>
        <v>0</v>
      </c>
      <c r="AB57" s="19">
        <v>0</v>
      </c>
      <c r="AC57" s="19">
        <v>0</v>
      </c>
      <c r="AD57" s="19">
        <v>0</v>
      </c>
      <c r="AE57" s="90">
        <v>0</v>
      </c>
      <c r="AF57" s="207">
        <f t="shared" si="41"/>
        <v>0</v>
      </c>
      <c r="AG57" s="19">
        <v>0</v>
      </c>
      <c r="AH57" s="19">
        <v>0</v>
      </c>
      <c r="AI57" s="19">
        <v>0</v>
      </c>
      <c r="AJ57" s="90">
        <v>0</v>
      </c>
      <c r="AK57" s="207">
        <f t="shared" si="42"/>
        <v>0</v>
      </c>
      <c r="AL57" s="19">
        <v>0</v>
      </c>
      <c r="AM57" s="19">
        <v>0</v>
      </c>
      <c r="AN57" s="19">
        <v>0</v>
      </c>
      <c r="AO57" s="19">
        <v>0</v>
      </c>
      <c r="AP57" s="207">
        <f t="shared" si="34"/>
        <v>0</v>
      </c>
      <c r="AQ57" s="19">
        <v>0</v>
      </c>
      <c r="AR57" s="19">
        <v>0</v>
      </c>
      <c r="AS57" s="19">
        <v>0</v>
      </c>
      <c r="AT57" s="19">
        <v>0</v>
      </c>
      <c r="AU57" s="207">
        <f t="shared" si="35"/>
        <v>0</v>
      </c>
      <c r="AV57" s="19">
        <v>0</v>
      </c>
      <c r="AW57" s="19">
        <v>0</v>
      </c>
      <c r="AX57" s="19">
        <v>0</v>
      </c>
      <c r="AY57" s="19">
        <v>0</v>
      </c>
      <c r="AZ57" s="207">
        <f t="shared" si="36"/>
        <v>0</v>
      </c>
      <c r="BA57" s="19">
        <v>0</v>
      </c>
      <c r="BB57" s="19">
        <v>0</v>
      </c>
      <c r="BC57" s="19">
        <v>0</v>
      </c>
      <c r="BD57" s="19">
        <v>0</v>
      </c>
      <c r="BE57" s="207">
        <f>SUM(BA57:BD57)</f>
        <v>0</v>
      </c>
      <c r="BF57" s="19">
        <v>0</v>
      </c>
      <c r="BG57" s="19">
        <v>0</v>
      </c>
      <c r="BH57" s="19">
        <v>0</v>
      </c>
      <c r="BI57" s="19">
        <v>0</v>
      </c>
      <c r="BJ57" s="207">
        <f t="shared" si="43"/>
        <v>0</v>
      </c>
      <c r="BK57" s="19">
        <v>0</v>
      </c>
      <c r="BL57" s="19">
        <f t="shared" si="40"/>
        <v>0</v>
      </c>
      <c r="BM57" s="19"/>
      <c r="BN57" s="19"/>
      <c r="BO57" s="207">
        <v>0</v>
      </c>
    </row>
    <row r="58" spans="2:67" ht="13">
      <c r="B58" s="88" t="s">
        <v>207</v>
      </c>
      <c r="C58" s="453"/>
      <c r="D58" s="453"/>
      <c r="E58" s="453"/>
      <c r="F58" s="454"/>
      <c r="G58" s="442"/>
      <c r="H58" s="444"/>
      <c r="I58" s="453"/>
      <c r="J58" s="453"/>
      <c r="K58" s="454"/>
      <c r="L58" s="442"/>
      <c r="M58" s="19"/>
      <c r="N58" s="89"/>
      <c r="O58" s="89"/>
      <c r="P58" s="90"/>
      <c r="Q58" s="445"/>
      <c r="R58" s="89"/>
      <c r="S58" s="89"/>
      <c r="T58" s="89"/>
      <c r="U58" s="90"/>
      <c r="V58" s="445"/>
      <c r="W58" s="89"/>
      <c r="X58" s="89"/>
      <c r="Y58" s="89"/>
      <c r="Z58" s="90"/>
      <c r="AA58" s="445"/>
      <c r="AB58" s="19"/>
      <c r="AC58" s="19"/>
      <c r="AD58" s="19"/>
      <c r="AE58" s="90"/>
      <c r="AF58" s="207"/>
      <c r="AG58" s="19"/>
      <c r="AH58" s="19"/>
      <c r="AI58" s="19"/>
      <c r="AJ58" s="90"/>
      <c r="AK58" s="207"/>
      <c r="AL58" s="19"/>
      <c r="AM58" s="19"/>
      <c r="AN58" s="19"/>
      <c r="AO58" s="19"/>
      <c r="AP58" s="207"/>
      <c r="AQ58" s="19"/>
      <c r="AR58" s="19"/>
      <c r="AS58" s="19"/>
      <c r="AT58" s="19">
        <f>-400-AS58-AR58-AQ58</f>
        <v>-400</v>
      </c>
      <c r="AU58" s="207">
        <f t="shared" si="35"/>
        <v>-400</v>
      </c>
      <c r="AV58" s="19">
        <v>0</v>
      </c>
      <c r="AW58" s="19">
        <v>0</v>
      </c>
      <c r="AX58" s="19">
        <v>0</v>
      </c>
      <c r="AY58" s="19">
        <v>0</v>
      </c>
      <c r="AZ58" s="207">
        <f t="shared" si="36"/>
        <v>0</v>
      </c>
      <c r="BA58" s="19">
        <v>0</v>
      </c>
      <c r="BB58" s="19">
        <v>0</v>
      </c>
      <c r="BC58" s="19">
        <v>0</v>
      </c>
      <c r="BD58" s="19">
        <v>0</v>
      </c>
      <c r="BE58" s="207">
        <f>SUM(BA58:BD58)</f>
        <v>0</v>
      </c>
      <c r="BF58" s="19">
        <v>0</v>
      </c>
      <c r="BG58" s="19">
        <v>0</v>
      </c>
      <c r="BH58" s="19">
        <v>0</v>
      </c>
      <c r="BI58" s="19">
        <v>0</v>
      </c>
      <c r="BJ58" s="207">
        <f t="shared" si="43"/>
        <v>0</v>
      </c>
      <c r="BK58" s="19">
        <v>0</v>
      </c>
      <c r="BL58" s="19">
        <f t="shared" si="40"/>
        <v>0</v>
      </c>
      <c r="BM58" s="19"/>
      <c r="BN58" s="19"/>
      <c r="BO58" s="207">
        <v>0</v>
      </c>
    </row>
    <row r="59" spans="2:67" ht="13">
      <c r="B59" s="88" t="s">
        <v>208</v>
      </c>
      <c r="C59" s="453"/>
      <c r="D59" s="453"/>
      <c r="E59" s="453"/>
      <c r="F59" s="454"/>
      <c r="G59" s="442"/>
      <c r="H59" s="444"/>
      <c r="I59" s="453"/>
      <c r="J59" s="453"/>
      <c r="K59" s="454"/>
      <c r="L59" s="442"/>
      <c r="M59" s="19"/>
      <c r="N59" s="89"/>
      <c r="O59" s="89"/>
      <c r="P59" s="90"/>
      <c r="Q59" s="445"/>
      <c r="R59" s="89"/>
      <c r="S59" s="89"/>
      <c r="T59" s="89"/>
      <c r="U59" s="90"/>
      <c r="V59" s="445"/>
      <c r="W59" s="89"/>
      <c r="X59" s="89"/>
      <c r="Y59" s="89"/>
      <c r="Z59" s="90"/>
      <c r="AA59" s="445"/>
      <c r="AB59" s="19"/>
      <c r="AC59" s="19"/>
      <c r="AD59" s="19"/>
      <c r="AE59" s="90"/>
      <c r="AF59" s="207"/>
      <c r="AG59" s="19"/>
      <c r="AH59" s="19"/>
      <c r="AI59" s="19"/>
      <c r="AJ59" s="90"/>
      <c r="AK59" s="207"/>
      <c r="AL59" s="19"/>
      <c r="AM59" s="19"/>
      <c r="AN59" s="19"/>
      <c r="AO59" s="19"/>
      <c r="AP59" s="207"/>
      <c r="AQ59" s="19"/>
      <c r="AR59" s="19"/>
      <c r="AS59" s="19"/>
      <c r="AT59" s="19"/>
      <c r="AU59" s="207"/>
      <c r="AV59" s="19"/>
      <c r="AW59" s="19"/>
      <c r="AX59" s="19"/>
      <c r="AY59" s="19"/>
      <c r="AZ59" s="207"/>
      <c r="BA59" s="19"/>
      <c r="BB59" s="19"/>
      <c r="BC59" s="19"/>
      <c r="BD59" s="19"/>
      <c r="BE59" s="207"/>
      <c r="BF59" s="19">
        <v>0</v>
      </c>
      <c r="BG59" s="19">
        <v>0</v>
      </c>
      <c r="BH59" s="19">
        <f>487-BF59-BG59</f>
        <v>487</v>
      </c>
      <c r="BI59" s="19">
        <f>487-BH59-BG59-BF59</f>
        <v>0</v>
      </c>
      <c r="BJ59" s="207">
        <f t="shared" si="43"/>
        <v>487</v>
      </c>
      <c r="BK59" s="19">
        <v>0</v>
      </c>
      <c r="BL59" s="19">
        <f t="shared" si="40"/>
        <v>0</v>
      </c>
      <c r="BM59" s="19"/>
      <c r="BN59" s="19"/>
      <c r="BO59" s="207">
        <v>0</v>
      </c>
    </row>
    <row r="60" spans="2:67" ht="14.5">
      <c r="B60" s="452" t="s">
        <v>209</v>
      </c>
      <c r="C60" s="318"/>
      <c r="D60" s="318"/>
      <c r="E60" s="318"/>
      <c r="F60" s="319"/>
      <c r="G60" s="105">
        <v>0</v>
      </c>
      <c r="H60" s="314"/>
      <c r="I60" s="318"/>
      <c r="J60" s="318"/>
      <c r="K60" s="319"/>
      <c r="L60" s="105">
        <v>0</v>
      </c>
      <c r="M60" s="209"/>
      <c r="N60" s="150"/>
      <c r="O60" s="150"/>
      <c r="P60" s="153"/>
      <c r="Q60" s="105">
        <v>0</v>
      </c>
      <c r="R60" s="150"/>
      <c r="S60" s="150"/>
      <c r="T60" s="150"/>
      <c r="U60" s="153"/>
      <c r="V60" s="105">
        <v>0</v>
      </c>
      <c r="W60" s="150">
        <v>0</v>
      </c>
      <c r="X60" s="150">
        <v>0</v>
      </c>
      <c r="Y60" s="150">
        <v>0</v>
      </c>
      <c r="Z60" s="153">
        <f>10-Y60-X60-W60</f>
        <v>10</v>
      </c>
      <c r="AA60" s="316">
        <f t="shared" si="31"/>
        <v>10</v>
      </c>
      <c r="AB60" s="150">
        <v>0</v>
      </c>
      <c r="AC60" s="150">
        <f>23</f>
        <v>23</v>
      </c>
      <c r="AD60" s="150">
        <v>12</v>
      </c>
      <c r="AE60" s="153">
        <v>11</v>
      </c>
      <c r="AF60" s="105">
        <f t="shared" si="41"/>
        <v>46</v>
      </c>
      <c r="AG60" s="150">
        <f>22+12</f>
        <v>34</v>
      </c>
      <c r="AH60" s="150">
        <f>47-AG60</f>
        <v>13</v>
      </c>
      <c r="AI60" s="150">
        <f>23+38-AH60-AG60</f>
        <v>14</v>
      </c>
      <c r="AJ60" s="153">
        <f>23+49-AI60-AH60-AG60</f>
        <v>11</v>
      </c>
      <c r="AK60" s="105">
        <f t="shared" si="42"/>
        <v>72</v>
      </c>
      <c r="AL60" s="150">
        <v>12</v>
      </c>
      <c r="AM60" s="150">
        <f>36-AL60</f>
        <v>24</v>
      </c>
      <c r="AN60" s="150">
        <f>53+9-AM60-AL60</f>
        <v>26</v>
      </c>
      <c r="AO60" s="153">
        <f>9+67-AN60-AM60-AL60</f>
        <v>14</v>
      </c>
      <c r="AP60" s="105">
        <f t="shared" si="34"/>
        <v>76</v>
      </c>
      <c r="AQ60" s="150">
        <v>22</v>
      </c>
      <c r="AR60" s="150">
        <f>40-AQ60</f>
        <v>18</v>
      </c>
      <c r="AS60" s="209">
        <f>57-AR60-AQ60</f>
        <v>17</v>
      </c>
      <c r="AT60" s="153">
        <f>0+71-AS60-AR60-AQ60</f>
        <v>14</v>
      </c>
      <c r="AU60" s="105">
        <f t="shared" si="35"/>
        <v>71</v>
      </c>
      <c r="AV60" s="150">
        <v>126</v>
      </c>
      <c r="AW60" s="150">
        <f>127-AV60</f>
        <v>1</v>
      </c>
      <c r="AX60" s="209">
        <f>146-AW60-AV60</f>
        <v>19</v>
      </c>
      <c r="AY60" s="153">
        <f>154-SUM(AV60:AX60)</f>
        <v>8</v>
      </c>
      <c r="AZ60" s="105">
        <f t="shared" si="36"/>
        <v>154</v>
      </c>
      <c r="BA60" s="150">
        <v>1</v>
      </c>
      <c r="BB60" s="150">
        <f>5-BA60</f>
        <v>4</v>
      </c>
      <c r="BC60" s="209">
        <f>18-BB60-BA60</f>
        <v>13</v>
      </c>
      <c r="BD60" s="153">
        <f>21-SUM(BA60:BC60)</f>
        <v>3</v>
      </c>
      <c r="BE60" s="105">
        <f>SUM(BA60:BD60)</f>
        <v>21</v>
      </c>
      <c r="BF60" s="150">
        <v>12</v>
      </c>
      <c r="BG60" s="150">
        <f>14-BF60</f>
        <v>2</v>
      </c>
      <c r="BH60" s="209">
        <f>15-BF60-BG60-1</f>
        <v>0</v>
      </c>
      <c r="BI60" s="153">
        <f>15+4-BH60-BG60-BF60</f>
        <v>5</v>
      </c>
      <c r="BJ60" s="105">
        <f>SUM(BF60:BI60)</f>
        <v>19</v>
      </c>
      <c r="BK60" s="150">
        <v>7</v>
      </c>
      <c r="BL60" s="150">
        <f t="shared" si="40"/>
        <v>4</v>
      </c>
      <c r="BM60" s="209"/>
      <c r="BN60" s="153"/>
      <c r="BO60" s="105">
        <v>11</v>
      </c>
    </row>
    <row r="61" spans="2:67" ht="13">
      <c r="B61" s="452"/>
      <c r="C61" s="453"/>
      <c r="D61" s="453"/>
      <c r="E61" s="453"/>
      <c r="F61" s="454"/>
      <c r="G61" s="442"/>
      <c r="H61" s="444"/>
      <c r="I61" s="453"/>
      <c r="J61" s="453"/>
      <c r="K61" s="454"/>
      <c r="L61" s="442"/>
      <c r="M61" s="19"/>
      <c r="N61" s="89"/>
      <c r="O61" s="89"/>
      <c r="P61" s="90"/>
      <c r="Q61" s="445"/>
      <c r="R61" s="227"/>
      <c r="S61" s="89"/>
      <c r="T61" s="89"/>
      <c r="U61" s="90"/>
      <c r="V61" s="445"/>
      <c r="W61" s="227"/>
      <c r="X61" s="89"/>
      <c r="Y61" s="89"/>
      <c r="Z61" s="90"/>
      <c r="AA61" s="445"/>
      <c r="AB61" s="227"/>
      <c r="AC61" s="19"/>
      <c r="AD61" s="19"/>
      <c r="AE61" s="90"/>
      <c r="AF61" s="207"/>
      <c r="AG61" s="227"/>
      <c r="AH61" s="19"/>
      <c r="AI61" s="19"/>
      <c r="AJ61" s="90"/>
      <c r="AK61" s="207"/>
      <c r="AL61" s="227"/>
      <c r="AM61" s="19"/>
      <c r="AN61" s="19"/>
      <c r="AO61" s="90"/>
      <c r="AP61" s="207"/>
      <c r="AQ61" s="227"/>
      <c r="AR61" s="19"/>
      <c r="AS61" s="19"/>
      <c r="AT61" s="90"/>
      <c r="AU61" s="207"/>
      <c r="AV61" s="227"/>
      <c r="AW61" s="19"/>
      <c r="AX61" s="19"/>
      <c r="AY61" s="90"/>
      <c r="AZ61" s="207"/>
      <c r="BA61" s="227"/>
      <c r="BB61" s="19"/>
      <c r="BC61" s="19"/>
      <c r="BD61" s="90"/>
      <c r="BE61" s="207"/>
      <c r="BF61" s="227"/>
      <c r="BG61" s="19"/>
      <c r="BH61" s="19"/>
      <c r="BI61" s="90"/>
      <c r="BJ61" s="207"/>
      <c r="BK61" s="227"/>
      <c r="BL61" s="19"/>
      <c r="BM61" s="19"/>
      <c r="BN61" s="90"/>
      <c r="BO61" s="207"/>
    </row>
    <row r="62" spans="2:67" s="158" customFormat="1" ht="13">
      <c r="B62" s="87" t="s">
        <v>494</v>
      </c>
      <c r="C62" s="23">
        <f t="shared" ref="C62:V62" si="44">SUM(C35:C57)</f>
        <v>-766</v>
      </c>
      <c r="D62" s="23">
        <f t="shared" si="44"/>
        <v>-915</v>
      </c>
      <c r="E62" s="23">
        <f t="shared" si="44"/>
        <v>1894</v>
      </c>
      <c r="F62" s="25">
        <f t="shared" si="44"/>
        <v>-1492</v>
      </c>
      <c r="G62" s="303">
        <f t="shared" si="44"/>
        <v>-1279</v>
      </c>
      <c r="H62" s="23">
        <f t="shared" si="44"/>
        <v>-1086</v>
      </c>
      <c r="I62" s="23">
        <f t="shared" si="44"/>
        <v>-612</v>
      </c>
      <c r="J62" s="23">
        <f t="shared" si="44"/>
        <v>-824</v>
      </c>
      <c r="K62" s="25">
        <f t="shared" si="44"/>
        <v>-594</v>
      </c>
      <c r="L62" s="303">
        <f t="shared" si="44"/>
        <v>-3116</v>
      </c>
      <c r="M62" s="23">
        <f t="shared" si="44"/>
        <v>-1420</v>
      </c>
      <c r="N62" s="23">
        <f t="shared" si="44"/>
        <v>-2328</v>
      </c>
      <c r="O62" s="23">
        <f t="shared" si="44"/>
        <v>-6249</v>
      </c>
      <c r="P62" s="25">
        <f t="shared" si="44"/>
        <v>-7077</v>
      </c>
      <c r="Q62" s="304">
        <f t="shared" si="44"/>
        <v>-17074</v>
      </c>
      <c r="R62" s="302">
        <f t="shared" si="44"/>
        <v>-334</v>
      </c>
      <c r="S62" s="23">
        <f t="shared" si="44"/>
        <v>-1942</v>
      </c>
      <c r="T62" s="23">
        <f t="shared" si="44"/>
        <v>9511</v>
      </c>
      <c r="U62" s="25">
        <f t="shared" si="44"/>
        <v>-4124</v>
      </c>
      <c r="V62" s="304">
        <f t="shared" si="44"/>
        <v>3111</v>
      </c>
      <c r="W62" s="302">
        <f>SUM(W35:W60)</f>
        <v>-887</v>
      </c>
      <c r="X62" s="23">
        <f>SUM(X35:X60)</f>
        <v>-578</v>
      </c>
      <c r="Y62" s="23">
        <f>SUM(Y35:Y57)</f>
        <v>-2056</v>
      </c>
      <c r="Z62" s="23">
        <f t="shared" ref="Z62:BG62" si="45">SUM(Z35:Z60)</f>
        <v>1944</v>
      </c>
      <c r="AA62" s="304">
        <f t="shared" si="45"/>
        <v>-1578</v>
      </c>
      <c r="AB62" s="302">
        <f t="shared" si="45"/>
        <v>1107</v>
      </c>
      <c r="AC62" s="23">
        <f t="shared" si="45"/>
        <v>1010</v>
      </c>
      <c r="AD62" s="23">
        <f t="shared" si="45"/>
        <v>-515</v>
      </c>
      <c r="AE62" s="23">
        <f t="shared" si="45"/>
        <v>-3395</v>
      </c>
      <c r="AF62" s="304">
        <f t="shared" si="45"/>
        <v>-1793</v>
      </c>
      <c r="AG62" s="23">
        <f t="shared" si="45"/>
        <v>-1474</v>
      </c>
      <c r="AH62" s="23">
        <f t="shared" si="45"/>
        <v>-2265</v>
      </c>
      <c r="AI62" s="23">
        <f t="shared" si="45"/>
        <v>-1290</v>
      </c>
      <c r="AJ62" s="23">
        <f t="shared" si="45"/>
        <v>-3330</v>
      </c>
      <c r="AK62" s="304">
        <f t="shared" si="45"/>
        <v>-8359</v>
      </c>
      <c r="AL62" s="23">
        <f t="shared" si="45"/>
        <v>-3253</v>
      </c>
      <c r="AM62" s="23">
        <f t="shared" si="45"/>
        <v>1766</v>
      </c>
      <c r="AN62" s="23">
        <f t="shared" si="45"/>
        <v>-1474</v>
      </c>
      <c r="AO62" s="23">
        <f t="shared" si="45"/>
        <v>-4534</v>
      </c>
      <c r="AP62" s="304">
        <f t="shared" si="45"/>
        <v>-7495</v>
      </c>
      <c r="AQ62" s="23">
        <f t="shared" si="45"/>
        <v>-2178</v>
      </c>
      <c r="AR62" s="23">
        <f t="shared" si="45"/>
        <v>-3911</v>
      </c>
      <c r="AS62" s="23">
        <f t="shared" si="45"/>
        <v>2754</v>
      </c>
      <c r="AT62" s="23">
        <f t="shared" si="45"/>
        <v>1571</v>
      </c>
      <c r="AU62" s="304">
        <f t="shared" si="45"/>
        <v>-1764</v>
      </c>
      <c r="AV62" s="23">
        <f t="shared" si="45"/>
        <v>1475</v>
      </c>
      <c r="AW62" s="23">
        <f t="shared" si="45"/>
        <v>-2005</v>
      </c>
      <c r="AX62" s="23">
        <f t="shared" si="45"/>
        <v>190</v>
      </c>
      <c r="AY62" s="23">
        <f t="shared" si="45"/>
        <v>-5525</v>
      </c>
      <c r="AZ62" s="304">
        <f t="shared" si="45"/>
        <v>-5865</v>
      </c>
      <c r="BA62" s="23">
        <f t="shared" si="45"/>
        <v>4414</v>
      </c>
      <c r="BB62" s="23">
        <f t="shared" si="45"/>
        <v>-564</v>
      </c>
      <c r="BC62" s="23">
        <f t="shared" si="45"/>
        <v>-484</v>
      </c>
      <c r="BD62" s="23">
        <f t="shared" si="45"/>
        <v>-6404</v>
      </c>
      <c r="BE62" s="304">
        <f t="shared" si="45"/>
        <v>-3038</v>
      </c>
      <c r="BF62" s="23">
        <f t="shared" si="45"/>
        <v>4199</v>
      </c>
      <c r="BG62" s="23">
        <f t="shared" si="45"/>
        <v>-5382</v>
      </c>
      <c r="BH62" s="23">
        <f>SUM(BH35:BH60)</f>
        <v>7585</v>
      </c>
      <c r="BI62" s="23">
        <f>SUM(BI35:BI60)</f>
        <v>-6294</v>
      </c>
      <c r="BJ62" s="304">
        <f>SUM(BJ35:BJ60)</f>
        <v>108</v>
      </c>
      <c r="BK62" s="23">
        <f>SUM(BK35:BK60)</f>
        <v>1493</v>
      </c>
      <c r="BL62" s="23">
        <f>SUM(BL35:BL60)</f>
        <v>-6086</v>
      </c>
      <c r="BM62" s="23"/>
      <c r="BN62" s="23"/>
      <c r="BO62" s="304">
        <f>SUM(BO35:BO60)</f>
        <v>-4593</v>
      </c>
    </row>
    <row r="63" spans="2:67" ht="13">
      <c r="B63" s="175"/>
      <c r="C63" s="23"/>
      <c r="D63" s="23"/>
      <c r="E63" s="23"/>
      <c r="F63" s="25"/>
      <c r="G63" s="305"/>
      <c r="H63" s="23"/>
      <c r="I63" s="23"/>
      <c r="J63" s="23"/>
      <c r="K63" s="25"/>
      <c r="L63" s="305"/>
      <c r="M63" s="23"/>
      <c r="N63" s="23"/>
      <c r="O63" s="89"/>
      <c r="P63" s="90"/>
      <c r="Q63" s="306"/>
      <c r="R63" s="227"/>
      <c r="S63" s="89"/>
      <c r="T63" s="89"/>
      <c r="U63" s="90"/>
      <c r="V63" s="306"/>
      <c r="W63" s="227"/>
      <c r="X63" s="89"/>
      <c r="Y63" s="89"/>
      <c r="Z63" s="90"/>
      <c r="AA63" s="306"/>
      <c r="AB63" s="227"/>
      <c r="AC63" s="19"/>
      <c r="AD63" s="19"/>
      <c r="AE63" s="90"/>
      <c r="AF63" s="306"/>
      <c r="AG63" s="227"/>
      <c r="AH63" s="19"/>
      <c r="AI63" s="19"/>
      <c r="AJ63" s="90"/>
      <c r="AK63" s="306"/>
      <c r="AL63" s="227"/>
      <c r="AM63" s="19"/>
      <c r="AN63" s="19"/>
      <c r="AO63" s="90"/>
      <c r="AP63" s="306"/>
      <c r="AQ63" s="227"/>
      <c r="AR63" s="19"/>
      <c r="AS63" s="19"/>
      <c r="AT63" s="90"/>
      <c r="AU63" s="306"/>
      <c r="AV63" s="227"/>
      <c r="AW63" s="19"/>
      <c r="AX63" s="19"/>
      <c r="AY63" s="90"/>
      <c r="AZ63" s="306"/>
      <c r="BA63" s="227"/>
      <c r="BB63" s="19"/>
      <c r="BC63" s="19"/>
      <c r="BD63" s="90"/>
      <c r="BE63" s="306"/>
      <c r="BF63" s="227"/>
      <c r="BG63" s="19"/>
      <c r="BH63" s="19"/>
      <c r="BI63" s="90"/>
      <c r="BJ63" s="306"/>
      <c r="BK63" s="227"/>
      <c r="BL63" s="19"/>
      <c r="BM63" s="19"/>
      <c r="BN63" s="90"/>
      <c r="BO63" s="306"/>
    </row>
    <row r="64" spans="2:67" ht="13">
      <c r="B64" s="87" t="s">
        <v>210</v>
      </c>
      <c r="C64" s="238"/>
      <c r="D64" s="238"/>
      <c r="E64" s="238"/>
      <c r="F64" s="173"/>
      <c r="G64" s="442"/>
      <c r="H64" s="444"/>
      <c r="I64" s="244"/>
      <c r="J64" s="244"/>
      <c r="K64" s="165"/>
      <c r="L64" s="442"/>
      <c r="M64" s="244"/>
      <c r="N64" s="89"/>
      <c r="O64" s="89"/>
      <c r="P64" s="90"/>
      <c r="Q64" s="445"/>
      <c r="R64" s="227"/>
      <c r="S64" s="89"/>
      <c r="T64" s="89"/>
      <c r="U64" s="90"/>
      <c r="V64" s="445"/>
      <c r="W64" s="227"/>
      <c r="X64" s="89"/>
      <c r="Y64" s="89"/>
      <c r="Z64" s="90"/>
      <c r="AA64" s="445"/>
      <c r="AB64" s="227"/>
      <c r="AC64" s="19"/>
      <c r="AD64" s="19"/>
      <c r="AE64" s="90"/>
      <c r="AF64" s="207"/>
      <c r="AG64" s="227"/>
      <c r="AH64" s="19"/>
      <c r="AI64" s="19"/>
      <c r="AJ64" s="90"/>
      <c r="AK64" s="207"/>
      <c r="AL64" s="227"/>
      <c r="AM64" s="19"/>
      <c r="AN64" s="19"/>
      <c r="AO64" s="90"/>
      <c r="AP64" s="207"/>
      <c r="AQ64" s="227"/>
      <c r="AR64" s="19"/>
      <c r="AS64" s="19"/>
      <c r="AT64" s="90"/>
      <c r="AU64" s="207"/>
      <c r="AV64" s="227"/>
      <c r="AW64" s="19"/>
      <c r="AX64" s="19"/>
      <c r="AY64" s="90"/>
      <c r="AZ64" s="207"/>
      <c r="BA64" s="227"/>
      <c r="BB64" s="19"/>
      <c r="BC64" s="19"/>
      <c r="BD64" s="90"/>
      <c r="BE64" s="207"/>
      <c r="BF64" s="227"/>
      <c r="BG64" s="19"/>
      <c r="BH64" s="19"/>
      <c r="BI64" s="90"/>
      <c r="BJ64" s="207"/>
      <c r="BK64" s="227"/>
      <c r="BL64" s="19"/>
      <c r="BM64" s="19"/>
      <c r="BN64" s="90"/>
      <c r="BO64" s="207"/>
    </row>
    <row r="65" spans="2:67" ht="13">
      <c r="B65" s="176" t="s">
        <v>257</v>
      </c>
      <c r="C65" s="240"/>
      <c r="D65" s="240"/>
      <c r="E65" s="240"/>
      <c r="F65" s="168"/>
      <c r="G65" s="182"/>
      <c r="H65" s="240"/>
      <c r="I65" s="240"/>
      <c r="J65" s="240"/>
      <c r="K65" s="168"/>
      <c r="L65" s="182"/>
      <c r="M65" s="245"/>
      <c r="N65" s="245"/>
      <c r="O65" s="89"/>
      <c r="P65" s="90"/>
      <c r="Q65" s="207"/>
      <c r="R65" s="89"/>
      <c r="S65" s="89"/>
      <c r="T65" s="89"/>
      <c r="U65" s="90"/>
      <c r="V65" s="207"/>
      <c r="W65" s="89"/>
      <c r="X65" s="89"/>
      <c r="Y65" s="89"/>
      <c r="Z65" s="90"/>
      <c r="AA65" s="207"/>
      <c r="AB65" s="89">
        <v>-141</v>
      </c>
      <c r="AC65" s="89">
        <v>-153</v>
      </c>
      <c r="AD65" s="89">
        <v>-137</v>
      </c>
      <c r="AE65" s="90">
        <v>-140</v>
      </c>
      <c r="AF65" s="207">
        <f t="shared" ref="AF65:AF72" si="46">SUM(AB65:AE65)</f>
        <v>-571</v>
      </c>
      <c r="AG65" s="89">
        <v>-139</v>
      </c>
      <c r="AH65" s="89">
        <f>-351-AG65</f>
        <v>-212</v>
      </c>
      <c r="AI65" s="89">
        <f>-534-AH65-AG65</f>
        <v>-183</v>
      </c>
      <c r="AJ65" s="90">
        <f>-698-AI65-AH65-AG65</f>
        <v>-164</v>
      </c>
      <c r="AK65" s="207">
        <f t="shared" ref="AK65:AK72" si="47">SUM(AG65:AJ65)</f>
        <v>-698</v>
      </c>
      <c r="AL65" s="89">
        <v>-208</v>
      </c>
      <c r="AM65" s="89">
        <f>-421-AL65</f>
        <v>-213</v>
      </c>
      <c r="AN65" s="89">
        <f>-644-AM65-AL65</f>
        <v>-223</v>
      </c>
      <c r="AO65" s="90">
        <f>-915-AN65-AM65-AL65</f>
        <v>-271</v>
      </c>
      <c r="AP65" s="207">
        <f t="shared" ref="AP65:AP72" si="48">SUM(AL65:AO65)</f>
        <v>-915</v>
      </c>
      <c r="AQ65" s="89">
        <v>-250</v>
      </c>
      <c r="AR65" s="89">
        <f>-527-AQ65</f>
        <v>-277</v>
      </c>
      <c r="AS65" s="89">
        <f>-866-AR65-AQ65</f>
        <v>-339</v>
      </c>
      <c r="AT65" s="90">
        <f>-1231-AS65-AR65-AQ65</f>
        <v>-365</v>
      </c>
      <c r="AU65" s="207">
        <f t="shared" ref="AU65:AU72" si="49">SUM(AQ65:AT65)</f>
        <v>-1231</v>
      </c>
      <c r="AV65" s="89">
        <v>-439</v>
      </c>
      <c r="AW65" s="89">
        <f>-920-AV65</f>
        <v>-481</v>
      </c>
      <c r="AX65" s="89">
        <f>-1448-SUM(AV65:AW65)</f>
        <v>-528</v>
      </c>
      <c r="AY65" s="90">
        <f>-2024-SUM(AV65:AX65)</f>
        <v>-576</v>
      </c>
      <c r="AZ65" s="207">
        <f t="shared" ref="AZ65:AZ72" si="50">SUM(AV65:AY65)</f>
        <v>-2024</v>
      </c>
      <c r="BA65" s="89">
        <v>-576</v>
      </c>
      <c r="BB65" s="89">
        <f>-1190-BA65</f>
        <v>-614</v>
      </c>
      <c r="BC65" s="89">
        <f>-1775-BB65-BA65</f>
        <v>-585</v>
      </c>
      <c r="BD65" s="90">
        <f>-2355-SUM(BA65:BC65)</f>
        <v>-580</v>
      </c>
      <c r="BE65" s="207">
        <f t="shared" ref="BE65:BE72" si="51">SUM(BA65:BD65)</f>
        <v>-2355</v>
      </c>
      <c r="BF65" s="89">
        <v>-706</v>
      </c>
      <c r="BG65" s="89">
        <f>-1382-BF65</f>
        <v>-676</v>
      </c>
      <c r="BH65" s="89">
        <f>-2021-BF65-BG65</f>
        <v>-639</v>
      </c>
      <c r="BI65" s="90">
        <f>-2824-BH65-BG65-BF65</f>
        <v>-803</v>
      </c>
      <c r="BJ65" s="207">
        <f t="shared" ref="BJ65:BJ70" si="52">SUM(BF65:BI65)</f>
        <v>-2824</v>
      </c>
      <c r="BK65" s="89">
        <v>-939</v>
      </c>
      <c r="BL65" s="89">
        <f>BO65-BK65</f>
        <v>-880</v>
      </c>
      <c r="BM65" s="89"/>
      <c r="BN65" s="90"/>
      <c r="BO65" s="207">
        <v>-1819</v>
      </c>
    </row>
    <row r="66" spans="2:67" ht="13">
      <c r="B66" s="176" t="s">
        <v>211</v>
      </c>
      <c r="C66" s="240">
        <v>0</v>
      </c>
      <c r="D66" s="240">
        <f>0-C66</f>
        <v>0</v>
      </c>
      <c r="E66" s="240">
        <f>0-C66-D66</f>
        <v>0</v>
      </c>
      <c r="F66" s="168">
        <f>0-C66-D66-E66</f>
        <v>0</v>
      </c>
      <c r="G66" s="182">
        <f>SUM(C66:F66)</f>
        <v>0</v>
      </c>
      <c r="H66" s="240">
        <v>0</v>
      </c>
      <c r="I66" s="240">
        <f>0-H66</f>
        <v>0</v>
      </c>
      <c r="J66" s="240">
        <f>0-H66-I66</f>
        <v>0</v>
      </c>
      <c r="K66" s="168">
        <f>0-H66-I66-J66</f>
        <v>0</v>
      </c>
      <c r="L66" s="182">
        <f>SUM(H66:K66)</f>
        <v>0</v>
      </c>
      <c r="M66" s="245">
        <v>0</v>
      </c>
      <c r="N66" s="245">
        <f>0-M66</f>
        <v>0</v>
      </c>
      <c r="O66" s="89">
        <f>0-M66-N66</f>
        <v>0</v>
      </c>
      <c r="P66" s="90">
        <v>0</v>
      </c>
      <c r="Q66" s="207">
        <f>SUM(M66:P66)</f>
        <v>0</v>
      </c>
      <c r="R66" s="89">
        <v>0</v>
      </c>
      <c r="S66" s="89">
        <v>0</v>
      </c>
      <c r="T66" s="89">
        <v>0</v>
      </c>
      <c r="U66" s="90">
        <f>5-T66-S66-R66</f>
        <v>5</v>
      </c>
      <c r="V66" s="207">
        <f>SUM(R66:U66)</f>
        <v>5</v>
      </c>
      <c r="W66" s="89">
        <v>0</v>
      </c>
      <c r="X66" s="89">
        <v>0</v>
      </c>
      <c r="Y66" s="89">
        <f>6-X66-W66</f>
        <v>6</v>
      </c>
      <c r="Z66" s="90">
        <f>6-Y66-X66-W66</f>
        <v>0</v>
      </c>
      <c r="AA66" s="207">
        <f>SUM(W66:Z66)</f>
        <v>6</v>
      </c>
      <c r="AB66" s="89">
        <v>1</v>
      </c>
      <c r="AC66" s="89">
        <v>0</v>
      </c>
      <c r="AD66" s="89">
        <v>2</v>
      </c>
      <c r="AE66" s="90">
        <v>3</v>
      </c>
      <c r="AF66" s="207">
        <f t="shared" si="46"/>
        <v>6</v>
      </c>
      <c r="AG66" s="89">
        <v>3</v>
      </c>
      <c r="AH66" s="89">
        <f>6-AG66</f>
        <v>3</v>
      </c>
      <c r="AI66" s="89">
        <f>11-AH66-AG66</f>
        <v>5</v>
      </c>
      <c r="AJ66" s="90">
        <f>15-AI66-AH66-AG66</f>
        <v>4</v>
      </c>
      <c r="AK66" s="207">
        <f t="shared" si="47"/>
        <v>15</v>
      </c>
      <c r="AL66" s="89">
        <v>8</v>
      </c>
      <c r="AM66" s="89">
        <f>9-AL66</f>
        <v>1</v>
      </c>
      <c r="AN66" s="89">
        <f>14-AM66-AL66</f>
        <v>5</v>
      </c>
      <c r="AO66" s="90">
        <f>21-AN66-AM66-AL66</f>
        <v>7</v>
      </c>
      <c r="AP66" s="207">
        <f t="shared" si="48"/>
        <v>21</v>
      </c>
      <c r="AQ66" s="89">
        <v>2</v>
      </c>
      <c r="AR66" s="89">
        <f>7-AQ66</f>
        <v>5</v>
      </c>
      <c r="AS66" s="89">
        <f>23-AR66-AQ66</f>
        <v>16</v>
      </c>
      <c r="AT66" s="90">
        <f>35-AS66-AR66-AQ66</f>
        <v>12</v>
      </c>
      <c r="AU66" s="207">
        <f t="shared" si="49"/>
        <v>35</v>
      </c>
      <c r="AV66" s="89">
        <v>2</v>
      </c>
      <c r="AW66" s="89">
        <f>3-AV66</f>
        <v>1</v>
      </c>
      <c r="AX66" s="89">
        <f>4-SUM(AV66:AW66)</f>
        <v>1</v>
      </c>
      <c r="AY66" s="90">
        <f>5-SUM(AV66:AX66)</f>
        <v>1</v>
      </c>
      <c r="AZ66" s="207">
        <f>SUM(AV66:AY66)</f>
        <v>5</v>
      </c>
      <c r="BA66" s="89">
        <v>3</v>
      </c>
      <c r="BB66" s="89">
        <f>3-BA66</f>
        <v>0</v>
      </c>
      <c r="BC66" s="89">
        <f>5-BB66-BA66</f>
        <v>2</v>
      </c>
      <c r="BD66" s="90">
        <f>6-SUM(BA66:BC66)</f>
        <v>1</v>
      </c>
      <c r="BE66" s="207">
        <f>SUM(BA66:BD66)</f>
        <v>6</v>
      </c>
      <c r="BF66" s="89">
        <v>1</v>
      </c>
      <c r="BG66" s="89">
        <f>1-BF66</f>
        <v>0</v>
      </c>
      <c r="BH66" s="89">
        <f>1-BG66</f>
        <v>1</v>
      </c>
      <c r="BI66" s="90">
        <v>0</v>
      </c>
      <c r="BJ66" s="207">
        <f>SUM(BF66:BI66)</f>
        <v>2</v>
      </c>
      <c r="BK66" s="89">
        <v>1</v>
      </c>
      <c r="BL66" s="89">
        <f>BO66-BK66</f>
        <v>1</v>
      </c>
      <c r="BM66" s="89"/>
      <c r="BN66" s="90"/>
      <c r="BO66" s="207">
        <v>2</v>
      </c>
    </row>
    <row r="67" spans="2:67" ht="13">
      <c r="B67" s="176" t="s">
        <v>212</v>
      </c>
      <c r="C67" s="240"/>
      <c r="D67" s="240"/>
      <c r="E67" s="240"/>
      <c r="F67" s="168"/>
      <c r="G67" s="182">
        <v>0</v>
      </c>
      <c r="H67" s="240"/>
      <c r="I67" s="240"/>
      <c r="J67" s="240"/>
      <c r="K67" s="168"/>
      <c r="L67" s="182">
        <v>0</v>
      </c>
      <c r="M67" s="245"/>
      <c r="N67" s="245"/>
      <c r="O67" s="89"/>
      <c r="P67" s="90"/>
      <c r="Q67" s="207">
        <v>0</v>
      </c>
      <c r="R67" s="89">
        <v>0</v>
      </c>
      <c r="S67" s="89">
        <v>0</v>
      </c>
      <c r="T67" s="89">
        <f>-13046-R67-S67</f>
        <v>-13046</v>
      </c>
      <c r="U67" s="90">
        <f>-13046-T67-S67-R67</f>
        <v>0</v>
      </c>
      <c r="V67" s="207">
        <f>SUM(R67:U67)</f>
        <v>-13046</v>
      </c>
      <c r="W67" s="89">
        <v>0</v>
      </c>
      <c r="X67" s="89">
        <v>0</v>
      </c>
      <c r="Y67" s="89">
        <v>0</v>
      </c>
      <c r="Z67" s="90">
        <f>-813-Y67-X67-W67</f>
        <v>-813</v>
      </c>
      <c r="AA67" s="207">
        <f>SUM(W67:Z67)</f>
        <v>-813</v>
      </c>
      <c r="AB67" s="19">
        <v>-4762</v>
      </c>
      <c r="AC67" s="19">
        <v>-2716</v>
      </c>
      <c r="AD67" s="19">
        <v>0</v>
      </c>
      <c r="AE67" s="90">
        <v>0</v>
      </c>
      <c r="AF67" s="207">
        <f t="shared" si="46"/>
        <v>-7478</v>
      </c>
      <c r="AG67" s="19">
        <v>0</v>
      </c>
      <c r="AH67" s="19">
        <f>0-AG67</f>
        <v>0</v>
      </c>
      <c r="AI67" s="19">
        <v>0</v>
      </c>
      <c r="AJ67" s="90">
        <v>0</v>
      </c>
      <c r="AK67" s="207">
        <f t="shared" si="47"/>
        <v>0</v>
      </c>
      <c r="AL67" s="19">
        <v>-532</v>
      </c>
      <c r="AM67" s="19">
        <f>-11125-AL67</f>
        <v>-10593</v>
      </c>
      <c r="AN67" s="19">
        <f>-11125-AM67-AL67</f>
        <v>0</v>
      </c>
      <c r="AO67" s="90">
        <f>-11125-AN67-AM67-AL67</f>
        <v>0</v>
      </c>
      <c r="AP67" s="207">
        <f t="shared" si="48"/>
        <v>-11125</v>
      </c>
      <c r="AQ67" s="19">
        <v>0</v>
      </c>
      <c r="AR67" s="19">
        <v>0</v>
      </c>
      <c r="AS67" s="19">
        <f>-3928-AR67-AQ67</f>
        <v>-3928</v>
      </c>
      <c r="AT67" s="90">
        <f>-11499-AS67-AR67-AQ67</f>
        <v>-7571</v>
      </c>
      <c r="AU67" s="207">
        <f t="shared" si="49"/>
        <v>-11499</v>
      </c>
      <c r="AV67" s="19">
        <v>0</v>
      </c>
      <c r="AW67" s="19">
        <v>0</v>
      </c>
      <c r="AX67" s="19">
        <v>0</v>
      </c>
      <c r="AY67" s="90">
        <v>0</v>
      </c>
      <c r="AZ67" s="207">
        <f t="shared" si="50"/>
        <v>0</v>
      </c>
      <c r="BA67" s="19">
        <v>0</v>
      </c>
      <c r="BB67" s="19">
        <v>0</v>
      </c>
      <c r="BC67" s="19">
        <v>0</v>
      </c>
      <c r="BD67" s="19">
        <v>0</v>
      </c>
      <c r="BE67" s="207">
        <f t="shared" si="51"/>
        <v>0</v>
      </c>
      <c r="BF67" s="19">
        <v>0</v>
      </c>
      <c r="BG67" s="19">
        <v>0</v>
      </c>
      <c r="BH67" s="19">
        <f>-18053</f>
        <v>-18053</v>
      </c>
      <c r="BI67" s="19">
        <f>-18058-BH67-BG67-BF67</f>
        <v>-5</v>
      </c>
      <c r="BJ67" s="207">
        <f t="shared" si="52"/>
        <v>-18058</v>
      </c>
      <c r="BK67" s="19">
        <v>0</v>
      </c>
      <c r="BL67" s="19">
        <f t="shared" ref="BL67:BL72" si="53">BO67-BK67</f>
        <v>0</v>
      </c>
      <c r="BM67" s="19"/>
      <c r="BN67" s="19"/>
      <c r="BO67" s="207">
        <v>0</v>
      </c>
    </row>
    <row r="68" spans="2:67" ht="13">
      <c r="B68" s="88" t="s">
        <v>213</v>
      </c>
      <c r="C68" s="240"/>
      <c r="D68" s="240"/>
      <c r="E68" s="240"/>
      <c r="F68" s="168"/>
      <c r="G68" s="182"/>
      <c r="H68" s="240"/>
      <c r="I68" s="240"/>
      <c r="J68" s="240"/>
      <c r="K68" s="168"/>
      <c r="L68" s="182"/>
      <c r="M68" s="245"/>
      <c r="N68" s="245"/>
      <c r="O68" s="89"/>
      <c r="P68" s="90"/>
      <c r="Q68" s="207"/>
      <c r="R68" s="89"/>
      <c r="S68" s="89"/>
      <c r="T68" s="89"/>
      <c r="U68" s="90"/>
      <c r="V68" s="207"/>
      <c r="W68" s="89"/>
      <c r="X68" s="89"/>
      <c r="Y68" s="89"/>
      <c r="Z68" s="90"/>
      <c r="AA68" s="207"/>
      <c r="AB68" s="19"/>
      <c r="AC68" s="19"/>
      <c r="AD68" s="19"/>
      <c r="AE68" s="90"/>
      <c r="AF68" s="207"/>
      <c r="AG68" s="19">
        <v>0</v>
      </c>
      <c r="AH68" s="19">
        <v>0</v>
      </c>
      <c r="AI68" s="19">
        <f>-49-AH68-AG68</f>
        <v>-49</v>
      </c>
      <c r="AJ68" s="90">
        <f>-49-AI68-AH68-AG68</f>
        <v>0</v>
      </c>
      <c r="AK68" s="207">
        <f t="shared" si="47"/>
        <v>-49</v>
      </c>
      <c r="AL68" s="19">
        <v>0</v>
      </c>
      <c r="AM68" s="19">
        <v>0</v>
      </c>
      <c r="AN68" s="19">
        <f>0-AM68-AL68</f>
        <v>0</v>
      </c>
      <c r="AO68" s="90">
        <f>-2-AN68-AM68-AL68</f>
        <v>-2</v>
      </c>
      <c r="AP68" s="207">
        <f t="shared" si="48"/>
        <v>-2</v>
      </c>
      <c r="AQ68" s="19">
        <v>0</v>
      </c>
      <c r="AR68" s="19">
        <v>0</v>
      </c>
      <c r="AS68" s="19">
        <v>0</v>
      </c>
      <c r="AT68" s="19">
        <v>0</v>
      </c>
      <c r="AU68" s="207">
        <f t="shared" si="49"/>
        <v>0</v>
      </c>
      <c r="AV68" s="19">
        <v>0</v>
      </c>
      <c r="AW68" s="19">
        <v>0</v>
      </c>
      <c r="AX68" s="19">
        <f>-18-SUM(AV68:AW68)</f>
        <v>-18</v>
      </c>
      <c r="AY68" s="89">
        <v>0</v>
      </c>
      <c r="AZ68" s="207">
        <f t="shared" si="50"/>
        <v>-18</v>
      </c>
      <c r="BA68" s="19">
        <v>0</v>
      </c>
      <c r="BB68" s="19">
        <v>0</v>
      </c>
      <c r="BC68" s="19">
        <f>0-BB68-BA68</f>
        <v>0</v>
      </c>
      <c r="BD68" s="19">
        <f>0-BC68-BB68-BA68</f>
        <v>0</v>
      </c>
      <c r="BE68" s="207">
        <f>SUM(BA68:BD68)</f>
        <v>0</v>
      </c>
      <c r="BF68" s="19">
        <v>0</v>
      </c>
      <c r="BG68" s="19">
        <v>0</v>
      </c>
      <c r="BH68" s="19">
        <v>0</v>
      </c>
      <c r="BI68" s="19">
        <v>0</v>
      </c>
      <c r="BJ68" s="207">
        <f>SUM(BF68:BI68)</f>
        <v>0</v>
      </c>
      <c r="BK68" s="19">
        <v>0</v>
      </c>
      <c r="BL68" s="19">
        <f t="shared" si="53"/>
        <v>0</v>
      </c>
      <c r="BM68" s="19"/>
      <c r="BN68" s="19"/>
      <c r="BO68" s="207">
        <v>0</v>
      </c>
    </row>
    <row r="69" spans="2:67" ht="13">
      <c r="B69" s="88" t="s">
        <v>487</v>
      </c>
      <c r="C69" s="240"/>
      <c r="D69" s="240"/>
      <c r="E69" s="240"/>
      <c r="F69" s="168"/>
      <c r="G69" s="182"/>
      <c r="H69" s="240"/>
      <c r="I69" s="240"/>
      <c r="J69" s="240"/>
      <c r="K69" s="168"/>
      <c r="L69" s="182"/>
      <c r="M69" s="245"/>
      <c r="N69" s="245"/>
      <c r="O69" s="89"/>
      <c r="P69" s="90"/>
      <c r="Q69" s="207"/>
      <c r="R69" s="89"/>
      <c r="S69" s="89"/>
      <c r="T69" s="89"/>
      <c r="U69" s="90"/>
      <c r="V69" s="207"/>
      <c r="W69" s="89"/>
      <c r="X69" s="89"/>
      <c r="Y69" s="89"/>
      <c r="Z69" s="90"/>
      <c r="AA69" s="207"/>
      <c r="AB69" s="19"/>
      <c r="AC69" s="19"/>
      <c r="AD69" s="19"/>
      <c r="AE69" s="90"/>
      <c r="AF69" s="207"/>
      <c r="AG69" s="19"/>
      <c r="AH69" s="19"/>
      <c r="AI69" s="19"/>
      <c r="AJ69" s="90"/>
      <c r="AK69" s="207"/>
      <c r="AL69" s="19"/>
      <c r="AM69" s="19"/>
      <c r="AN69" s="19"/>
      <c r="AO69" s="90"/>
      <c r="AP69" s="207"/>
      <c r="AQ69" s="19"/>
      <c r="AR69" s="19"/>
      <c r="AS69" s="19"/>
      <c r="AT69" s="19"/>
      <c r="AU69" s="207"/>
      <c r="AV69" s="19"/>
      <c r="AW69" s="19"/>
      <c r="AX69" s="19"/>
      <c r="AY69" s="19"/>
      <c r="AZ69" s="207"/>
      <c r="BA69" s="19">
        <v>0</v>
      </c>
      <c r="BB69" s="19">
        <f>0-985</f>
        <v>-985</v>
      </c>
      <c r="BC69" s="19">
        <f>-985-BB69-BA69</f>
        <v>0</v>
      </c>
      <c r="BD69" s="19">
        <f>-985-SUM(BA69:BC69)</f>
        <v>0</v>
      </c>
      <c r="BE69" s="207">
        <f>SUM(BA69:BD69)</f>
        <v>-985</v>
      </c>
      <c r="BF69" s="19">
        <v>0</v>
      </c>
      <c r="BG69" s="19">
        <f>0-BF69</f>
        <v>0</v>
      </c>
      <c r="BH69" s="19">
        <f>0-BG69</f>
        <v>0</v>
      </c>
      <c r="BI69" s="19">
        <f>0-BH69-BG69-BF69</f>
        <v>0</v>
      </c>
      <c r="BJ69" s="207">
        <f t="shared" si="52"/>
        <v>0</v>
      </c>
      <c r="BK69" s="19">
        <v>-812</v>
      </c>
      <c r="BL69" s="19">
        <f t="shared" si="53"/>
        <v>0</v>
      </c>
      <c r="BM69" s="19"/>
      <c r="BN69" s="19"/>
      <c r="BO69" s="207">
        <v>-812</v>
      </c>
    </row>
    <row r="70" spans="2:67" ht="13">
      <c r="B70" s="88" t="s">
        <v>214</v>
      </c>
      <c r="C70" s="240"/>
      <c r="D70" s="240"/>
      <c r="E70" s="240"/>
      <c r="F70" s="168"/>
      <c r="G70" s="182"/>
      <c r="H70" s="240"/>
      <c r="I70" s="240"/>
      <c r="J70" s="240"/>
      <c r="K70" s="168"/>
      <c r="L70" s="182"/>
      <c r="M70" s="245"/>
      <c r="N70" s="245"/>
      <c r="O70" s="89"/>
      <c r="P70" s="90"/>
      <c r="Q70" s="207"/>
      <c r="R70" s="89"/>
      <c r="S70" s="89"/>
      <c r="T70" s="89"/>
      <c r="U70" s="90"/>
      <c r="V70" s="207"/>
      <c r="W70" s="89"/>
      <c r="X70" s="89"/>
      <c r="Y70" s="89"/>
      <c r="Z70" s="90"/>
      <c r="AA70" s="207"/>
      <c r="AB70" s="19"/>
      <c r="AC70" s="19"/>
      <c r="AD70" s="19"/>
      <c r="AE70" s="90"/>
      <c r="AF70" s="207"/>
      <c r="AG70" s="19">
        <v>0</v>
      </c>
      <c r="AH70" s="19">
        <v>0</v>
      </c>
      <c r="AI70" s="19">
        <f>83-AH70-AG70</f>
        <v>83</v>
      </c>
      <c r="AJ70" s="90">
        <f>83-AI70-AH70-AG70</f>
        <v>0</v>
      </c>
      <c r="AK70" s="207">
        <f t="shared" si="47"/>
        <v>83</v>
      </c>
      <c r="AL70" s="19">
        <v>52</v>
      </c>
      <c r="AM70" s="19">
        <f>117-AL70</f>
        <v>65</v>
      </c>
      <c r="AN70" s="19">
        <f>209-AM70-AL70</f>
        <v>92</v>
      </c>
      <c r="AO70" s="90">
        <f>236-AN70-AM70-AL70</f>
        <v>27</v>
      </c>
      <c r="AP70" s="207">
        <f t="shared" si="48"/>
        <v>236</v>
      </c>
      <c r="AQ70" s="19">
        <v>72</v>
      </c>
      <c r="AR70" s="19">
        <f>84-AQ70</f>
        <v>12</v>
      </c>
      <c r="AS70" s="19">
        <f>121-AR70-AQ70</f>
        <v>37</v>
      </c>
      <c r="AT70" s="90">
        <f>132-AS70-AR70-AQ70</f>
        <v>11</v>
      </c>
      <c r="AU70" s="207">
        <f t="shared" si="49"/>
        <v>132</v>
      </c>
      <c r="AV70" s="19">
        <v>0</v>
      </c>
      <c r="AW70" s="19">
        <f>20-AV70</f>
        <v>20</v>
      </c>
      <c r="AX70" s="19">
        <f>2-SUM(AV70:AW70)</f>
        <v>-18</v>
      </c>
      <c r="AY70" s="90">
        <f>0-SUM(AV70:AX70)</f>
        <v>-2</v>
      </c>
      <c r="AZ70" s="207">
        <f t="shared" si="50"/>
        <v>0</v>
      </c>
      <c r="BA70" s="19">
        <v>0</v>
      </c>
      <c r="BB70" s="19">
        <v>0</v>
      </c>
      <c r="BC70" s="19">
        <f>0-BB70-BA70</f>
        <v>0</v>
      </c>
      <c r="BD70" s="19">
        <f>0-SUM(BA70:BC70)</f>
        <v>0</v>
      </c>
      <c r="BE70" s="207">
        <f t="shared" si="51"/>
        <v>0</v>
      </c>
      <c r="BF70" s="19">
        <v>0</v>
      </c>
      <c r="BG70" s="19">
        <v>0</v>
      </c>
      <c r="BH70" s="19">
        <v>0</v>
      </c>
      <c r="BI70" s="19">
        <v>0</v>
      </c>
      <c r="BJ70" s="207">
        <f t="shared" si="52"/>
        <v>0</v>
      </c>
      <c r="BK70" s="19">
        <v>0</v>
      </c>
      <c r="BL70" s="19">
        <f t="shared" si="53"/>
        <v>0</v>
      </c>
      <c r="BM70" s="19"/>
      <c r="BN70" s="19"/>
      <c r="BO70" s="207">
        <v>0</v>
      </c>
    </row>
    <row r="71" spans="2:67" ht="13">
      <c r="B71" s="88" t="s">
        <v>215</v>
      </c>
      <c r="C71" s="240"/>
      <c r="D71" s="240"/>
      <c r="E71" s="240"/>
      <c r="F71" s="168"/>
      <c r="G71" s="182"/>
      <c r="H71" s="240"/>
      <c r="I71" s="240"/>
      <c r="J71" s="240"/>
      <c r="K71" s="168"/>
      <c r="L71" s="182"/>
      <c r="M71" s="245"/>
      <c r="N71" s="245"/>
      <c r="O71" s="89"/>
      <c r="P71" s="90"/>
      <c r="Q71" s="207"/>
      <c r="R71" s="89"/>
      <c r="S71" s="89"/>
      <c r="T71" s="89"/>
      <c r="U71" s="90"/>
      <c r="V71" s="207"/>
      <c r="W71" s="89"/>
      <c r="X71" s="89"/>
      <c r="Y71" s="89"/>
      <c r="Z71" s="90"/>
      <c r="AA71" s="207"/>
      <c r="AB71" s="19"/>
      <c r="AC71" s="19"/>
      <c r="AD71" s="19"/>
      <c r="AE71" s="90"/>
      <c r="AF71" s="207"/>
      <c r="AG71" s="19">
        <v>0</v>
      </c>
      <c r="AH71" s="19">
        <v>0</v>
      </c>
      <c r="AI71" s="19">
        <v>0</v>
      </c>
      <c r="AJ71" s="90">
        <v>0</v>
      </c>
      <c r="AK71" s="207">
        <v>0</v>
      </c>
      <c r="AL71" s="19">
        <v>-7</v>
      </c>
      <c r="AM71" s="19">
        <f>-15-AL71</f>
        <v>-8</v>
      </c>
      <c r="AN71" s="19">
        <f>-22-AM71-AL71</f>
        <v>-7</v>
      </c>
      <c r="AO71" s="90">
        <f>-126-AN71-AM71-AL71</f>
        <v>-104</v>
      </c>
      <c r="AP71" s="207">
        <f t="shared" si="48"/>
        <v>-126</v>
      </c>
      <c r="AQ71" s="19">
        <v>-112</v>
      </c>
      <c r="AR71" s="19">
        <f>-220-AQ71</f>
        <v>-108</v>
      </c>
      <c r="AS71" s="19">
        <f>-360-AR71-AQ71</f>
        <v>-140</v>
      </c>
      <c r="AT71" s="90">
        <f>-479-AS71-AR71-AQ71</f>
        <v>-119</v>
      </c>
      <c r="AU71" s="207">
        <f t="shared" si="49"/>
        <v>-479</v>
      </c>
      <c r="AV71" s="19">
        <v>-209</v>
      </c>
      <c r="AW71" s="19">
        <f>-334-AV71</f>
        <v>-125</v>
      </c>
      <c r="AX71" s="19">
        <f>-528-SUM(AV71:AW71)</f>
        <v>-194</v>
      </c>
      <c r="AY71" s="90">
        <f>-736-SUM(AV71:AX71)</f>
        <v>-208</v>
      </c>
      <c r="AZ71" s="207">
        <f t="shared" si="50"/>
        <v>-736</v>
      </c>
      <c r="BA71" s="19">
        <v>-118</v>
      </c>
      <c r="BB71" s="19">
        <f>-265-BA71</f>
        <v>-147</v>
      </c>
      <c r="BC71" s="19">
        <f>-455-BB71-BA71</f>
        <v>-190</v>
      </c>
      <c r="BD71" s="90">
        <f>-538-SUM(BA71:BC71)</f>
        <v>-83</v>
      </c>
      <c r="BE71" s="207">
        <f>SUM(BA71:BD71)</f>
        <v>-538</v>
      </c>
      <c r="BF71" s="19">
        <v>-52</v>
      </c>
      <c r="BG71" s="19">
        <f>-181-BF71</f>
        <v>-129</v>
      </c>
      <c r="BH71" s="19">
        <f>-224-BF71-BG71+1</f>
        <v>-42</v>
      </c>
      <c r="BI71" s="90">
        <f>-250-BH71-BG71-BF71</f>
        <v>-27</v>
      </c>
      <c r="BJ71" s="207">
        <f>SUM(BF71:BI71)</f>
        <v>-250</v>
      </c>
      <c r="BK71" s="19">
        <v>-38</v>
      </c>
      <c r="BL71" s="19">
        <f t="shared" si="53"/>
        <v>-19</v>
      </c>
      <c r="BM71" s="19"/>
      <c r="BN71" s="90"/>
      <c r="BO71" s="207">
        <v>-57</v>
      </c>
    </row>
    <row r="72" spans="2:67" ht="14.5">
      <c r="B72" s="176" t="s">
        <v>216</v>
      </c>
      <c r="C72" s="320">
        <v>-2874</v>
      </c>
      <c r="D72" s="320">
        <f>-2877-C72</f>
        <v>-3</v>
      </c>
      <c r="E72" s="320">
        <f>-4935-C72-D72</f>
        <v>-2058</v>
      </c>
      <c r="F72" s="321">
        <f>-4935-C72-D72-E72</f>
        <v>0</v>
      </c>
      <c r="G72" s="322">
        <f>SUM(C72:F72)</f>
        <v>-4935</v>
      </c>
      <c r="H72" s="323">
        <v>-3366</v>
      </c>
      <c r="I72" s="324">
        <f>-4061-H72</f>
        <v>-695</v>
      </c>
      <c r="J72" s="324">
        <f>-6814-H72-I72</f>
        <v>-2753</v>
      </c>
      <c r="K72" s="325">
        <f>-6813-H72-I72-J72</f>
        <v>1</v>
      </c>
      <c r="L72" s="322">
        <f t="shared" ref="L72:L77" si="54">SUM(H72:K72)</f>
        <v>-6813</v>
      </c>
      <c r="M72" s="209">
        <v>-3256</v>
      </c>
      <c r="N72" s="150">
        <f>-3910-M72</f>
        <v>-654</v>
      </c>
      <c r="O72" s="150">
        <f>-6939-M72-N72</f>
        <v>-3029</v>
      </c>
      <c r="P72" s="153">
        <v>0</v>
      </c>
      <c r="Q72" s="326">
        <f t="shared" ref="Q72:Q77" si="55">SUM(M72:P72)</f>
        <v>-6939</v>
      </c>
      <c r="R72" s="292">
        <v>-3363</v>
      </c>
      <c r="S72" s="150">
        <v>-698</v>
      </c>
      <c r="T72" s="150">
        <f>-7469-R72-S72</f>
        <v>-3408</v>
      </c>
      <c r="U72" s="153">
        <f>-7464-T72-S72-R72</f>
        <v>5</v>
      </c>
      <c r="V72" s="326">
        <f>SUM(R72:U72)</f>
        <v>-7464</v>
      </c>
      <c r="W72" s="292">
        <v>-6629</v>
      </c>
      <c r="X72" s="150">
        <f>-7949-W72</f>
        <v>-1320</v>
      </c>
      <c r="Y72" s="150">
        <f>-11608-X72-W72</f>
        <v>-3659</v>
      </c>
      <c r="Z72" s="153">
        <f>-13705-Y72-X72-W72</f>
        <v>-2097</v>
      </c>
      <c r="AA72" s="326">
        <f>SUM(W72:Z72)</f>
        <v>-13705</v>
      </c>
      <c r="AB72" s="292">
        <v>-4495</v>
      </c>
      <c r="AC72" s="209">
        <v>-960</v>
      </c>
      <c r="AD72" s="209">
        <v>-4093</v>
      </c>
      <c r="AE72" s="153">
        <v>0</v>
      </c>
      <c r="AF72" s="326">
        <f t="shared" si="46"/>
        <v>-9548</v>
      </c>
      <c r="AG72" s="292">
        <v>0</v>
      </c>
      <c r="AH72" s="209">
        <f>-4051-AG72</f>
        <v>-4051</v>
      </c>
      <c r="AI72" s="209">
        <f>-9120-20-AH72-AG72</f>
        <v>-5089</v>
      </c>
      <c r="AJ72" s="153">
        <f>-9137-AI72-AH72-AG72</f>
        <v>3</v>
      </c>
      <c r="AK72" s="326">
        <f t="shared" si="47"/>
        <v>-9137</v>
      </c>
      <c r="AL72" s="292">
        <v>-6370</v>
      </c>
      <c r="AM72" s="209">
        <f>-6371-AL72</f>
        <v>-1</v>
      </c>
      <c r="AN72" s="209">
        <f>-12655-AM72-AL72-79</f>
        <v>-6363</v>
      </c>
      <c r="AO72" s="153">
        <f>-12731-AN72-AM72-AL72</f>
        <v>3</v>
      </c>
      <c r="AP72" s="326">
        <f t="shared" si="48"/>
        <v>-12731</v>
      </c>
      <c r="AQ72" s="292">
        <f>-6712-21</f>
        <v>-6733</v>
      </c>
      <c r="AR72" s="209">
        <f>-6733-AQ72</f>
        <v>0</v>
      </c>
      <c r="AS72" s="209">
        <f>-13655-AR72-AQ72</f>
        <v>-6922</v>
      </c>
      <c r="AT72" s="153">
        <f>-13653-AS72-AR72-AQ72</f>
        <v>2</v>
      </c>
      <c r="AU72" s="326">
        <f t="shared" si="49"/>
        <v>-13653</v>
      </c>
      <c r="AV72" s="292">
        <v>-1</v>
      </c>
      <c r="AW72" s="209">
        <f>-7248-AV72</f>
        <v>-7247</v>
      </c>
      <c r="AX72" s="209">
        <f>-14697-SUM(AV72:AW72)</f>
        <v>-7449</v>
      </c>
      <c r="AY72" s="153">
        <f>-14731-SUM(AV72:AX72)</f>
        <v>-34</v>
      </c>
      <c r="AZ72" s="326">
        <f t="shared" si="50"/>
        <v>-14731</v>
      </c>
      <c r="BA72" s="292">
        <v>0</v>
      </c>
      <c r="BB72" s="209">
        <f>-11594-BA72</f>
        <v>-11594</v>
      </c>
      <c r="BC72" s="209">
        <f>-20288-BB72-BA72</f>
        <v>-8694</v>
      </c>
      <c r="BD72" s="153">
        <f>-20289-SUM(BA72:BC72)</f>
        <v>-1</v>
      </c>
      <c r="BE72" s="326">
        <f t="shared" si="51"/>
        <v>-20289</v>
      </c>
      <c r="BF72" s="292">
        <v>-9120</v>
      </c>
      <c r="BG72" s="209">
        <f>-9122-3-BF72</f>
        <v>-5</v>
      </c>
      <c r="BH72" s="209">
        <f>-18657-BF72-BG72-1</f>
        <v>-9533</v>
      </c>
      <c r="BI72" s="153">
        <f>-18653-3-BH72-BG72-BF72</f>
        <v>2</v>
      </c>
      <c r="BJ72" s="326">
        <f>SUM(BF72:BI72)</f>
        <v>-18656</v>
      </c>
      <c r="BK72" s="292">
        <v>-10126</v>
      </c>
      <c r="BL72" s="209">
        <f t="shared" si="53"/>
        <v>-4</v>
      </c>
      <c r="BM72" s="209"/>
      <c r="BN72" s="153"/>
      <c r="BO72" s="326">
        <v>-10130</v>
      </c>
    </row>
    <row r="73" spans="2:67" ht="13">
      <c r="B73" s="452"/>
      <c r="C73" s="453"/>
      <c r="D73" s="453"/>
      <c r="E73" s="453"/>
      <c r="F73" s="454"/>
      <c r="G73" s="442"/>
      <c r="H73" s="444"/>
      <c r="I73" s="463"/>
      <c r="J73" s="463"/>
      <c r="K73" s="464"/>
      <c r="L73" s="442"/>
      <c r="M73" s="19"/>
      <c r="N73" s="89"/>
      <c r="O73" s="89"/>
      <c r="P73" s="90"/>
      <c r="Q73" s="445"/>
      <c r="R73" s="227"/>
      <c r="S73" s="89"/>
      <c r="T73" s="89"/>
      <c r="U73" s="90"/>
      <c r="V73" s="445"/>
      <c r="W73" s="227"/>
      <c r="X73" s="89"/>
      <c r="Y73" s="89"/>
      <c r="Z73" s="90"/>
      <c r="AA73" s="445"/>
      <c r="AB73" s="227"/>
      <c r="AC73" s="19"/>
      <c r="AD73" s="19"/>
      <c r="AE73" s="90"/>
      <c r="AF73" s="207"/>
      <c r="AG73" s="227"/>
      <c r="AH73" s="19"/>
      <c r="AI73" s="19"/>
      <c r="AJ73" s="90"/>
      <c r="AK73" s="207"/>
      <c r="AL73" s="227"/>
      <c r="AM73" s="19"/>
      <c r="AN73" s="19"/>
      <c r="AO73" s="90"/>
      <c r="AP73" s="207"/>
      <c r="AQ73" s="227"/>
      <c r="AR73" s="19"/>
      <c r="AS73" s="19"/>
      <c r="AT73" s="90"/>
      <c r="AU73" s="207"/>
      <c r="AV73" s="227"/>
      <c r="AW73" s="19"/>
      <c r="AX73" s="19"/>
      <c r="AY73" s="90"/>
      <c r="AZ73" s="207"/>
      <c r="BA73" s="227"/>
      <c r="BB73" s="19"/>
      <c r="BC73" s="19"/>
      <c r="BD73" s="90"/>
      <c r="BE73" s="207"/>
      <c r="BF73" s="227"/>
      <c r="BG73" s="19"/>
      <c r="BH73" s="19"/>
      <c r="BI73" s="90"/>
      <c r="BJ73" s="207"/>
      <c r="BK73" s="227"/>
      <c r="BL73" s="19"/>
      <c r="BM73" s="19"/>
      <c r="BN73" s="90"/>
      <c r="BO73" s="207"/>
    </row>
    <row r="74" spans="2:67" s="158" customFormat="1" ht="13">
      <c r="B74" s="87" t="s">
        <v>217</v>
      </c>
      <c r="C74" s="23">
        <f t="shared" ref="C74:U74" si="56">SUM(C65:C72)</f>
        <v>-2874</v>
      </c>
      <c r="D74" s="23">
        <f t="shared" si="56"/>
        <v>-3</v>
      </c>
      <c r="E74" s="23">
        <f t="shared" si="56"/>
        <v>-2058</v>
      </c>
      <c r="F74" s="25">
        <f t="shared" si="56"/>
        <v>0</v>
      </c>
      <c r="G74" s="303">
        <f t="shared" si="56"/>
        <v>-4935</v>
      </c>
      <c r="H74" s="23">
        <f t="shared" si="56"/>
        <v>-3366</v>
      </c>
      <c r="I74" s="23">
        <f t="shared" si="56"/>
        <v>-695</v>
      </c>
      <c r="J74" s="23">
        <f t="shared" si="56"/>
        <v>-2753</v>
      </c>
      <c r="K74" s="25">
        <f t="shared" si="56"/>
        <v>1</v>
      </c>
      <c r="L74" s="303">
        <f t="shared" si="56"/>
        <v>-6813</v>
      </c>
      <c r="M74" s="23">
        <f t="shared" si="56"/>
        <v>-3256</v>
      </c>
      <c r="N74" s="23">
        <f t="shared" si="56"/>
        <v>-654</v>
      </c>
      <c r="O74" s="23">
        <f t="shared" si="56"/>
        <v>-3029</v>
      </c>
      <c r="P74" s="25">
        <f t="shared" si="56"/>
        <v>0</v>
      </c>
      <c r="Q74" s="304">
        <f t="shared" si="56"/>
        <v>-6939</v>
      </c>
      <c r="R74" s="302">
        <f t="shared" si="56"/>
        <v>-3363</v>
      </c>
      <c r="S74" s="23">
        <f t="shared" si="56"/>
        <v>-698</v>
      </c>
      <c r="T74" s="23">
        <f t="shared" si="56"/>
        <v>-16454</v>
      </c>
      <c r="U74" s="25">
        <f t="shared" si="56"/>
        <v>10</v>
      </c>
      <c r="V74" s="304">
        <f>SUM(R74:U74)</f>
        <v>-20505</v>
      </c>
      <c r="W74" s="302">
        <f>SUM(W65:W72)</f>
        <v>-6629</v>
      </c>
      <c r="X74" s="23">
        <f>SUM(X65:X72)</f>
        <v>-1320</v>
      </c>
      <c r="Y74" s="23">
        <f>SUM(Y65:Y72)</f>
        <v>-3653</v>
      </c>
      <c r="Z74" s="23">
        <f>SUM(Z65:Z72)</f>
        <v>-2910</v>
      </c>
      <c r="AA74" s="304">
        <f>SUM(W74:Z74)</f>
        <v>-14512</v>
      </c>
      <c r="AB74" s="302">
        <f>SUM(AB65:AB72)</f>
        <v>-9397</v>
      </c>
      <c r="AC74" s="23">
        <f>SUM(AC65:AC72)</f>
        <v>-3829</v>
      </c>
      <c r="AD74" s="23">
        <f>SUM(AD65:AD72)</f>
        <v>-4228</v>
      </c>
      <c r="AE74" s="23">
        <f>SUM(AE65:AE72)</f>
        <v>-137</v>
      </c>
      <c r="AF74" s="304">
        <f>SUM(AB74:AE74)</f>
        <v>-17591</v>
      </c>
      <c r="AG74" s="23">
        <f>SUM(AG65:AG72)</f>
        <v>-136</v>
      </c>
      <c r="AH74" s="23">
        <f>SUM(AH65:AH72)</f>
        <v>-4260</v>
      </c>
      <c r="AI74" s="23">
        <f>SUM(AI65:AI72)</f>
        <v>-5233</v>
      </c>
      <c r="AJ74" s="23">
        <f>SUM(AJ65:AJ72)</f>
        <v>-157</v>
      </c>
      <c r="AK74" s="304">
        <f>SUM(AG74:AJ74)</f>
        <v>-9786</v>
      </c>
      <c r="AL74" s="23">
        <f>SUM(AL65:AL72)</f>
        <v>-7057</v>
      </c>
      <c r="AM74" s="23">
        <f>SUM(AM65:AM72)</f>
        <v>-10749</v>
      </c>
      <c r="AN74" s="23">
        <f>SUM(AN65:AN72)</f>
        <v>-6496</v>
      </c>
      <c r="AO74" s="23">
        <f>SUM(AO65:AO72)</f>
        <v>-340</v>
      </c>
      <c r="AP74" s="304">
        <f>SUM(AL74:AO74)</f>
        <v>-24642</v>
      </c>
      <c r="AQ74" s="23">
        <f>SUM(AQ65:AQ72)</f>
        <v>-7021</v>
      </c>
      <c r="AR74" s="23">
        <f>SUM(AR65:AR72)</f>
        <v>-368</v>
      </c>
      <c r="AS74" s="23">
        <f>SUM(AS65:AS72)</f>
        <v>-11276</v>
      </c>
      <c r="AT74" s="23">
        <f>SUM(AT65:AT72)</f>
        <v>-8030</v>
      </c>
      <c r="AU74" s="304">
        <f>SUM(AQ74:AT74)</f>
        <v>-26695</v>
      </c>
      <c r="AV74" s="23">
        <f>SUM(AV65:AV72)</f>
        <v>-647</v>
      </c>
      <c r="AW74" s="23">
        <f>SUM(AW65:AW72)</f>
        <v>-7832</v>
      </c>
      <c r="AX74" s="23">
        <f>SUM(AX65:AX72)</f>
        <v>-8206</v>
      </c>
      <c r="AY74" s="23">
        <f>SUM(AY65:AY72)</f>
        <v>-819</v>
      </c>
      <c r="AZ74" s="304">
        <f>SUM(AV74:AY74)</f>
        <v>-17504</v>
      </c>
      <c r="BA74" s="23">
        <f>SUM(BA65:BA72)</f>
        <v>-691</v>
      </c>
      <c r="BB74" s="23">
        <f>SUM(BB65:BB72)</f>
        <v>-13340</v>
      </c>
      <c r="BC74" s="23">
        <f>SUM(BC65:BC72)</f>
        <v>-9467</v>
      </c>
      <c r="BD74" s="23">
        <f>SUM(BD65:BD72)</f>
        <v>-663</v>
      </c>
      <c r="BE74" s="304">
        <f>SUM(BA74:BD74)</f>
        <v>-24161</v>
      </c>
      <c r="BF74" s="23">
        <f>SUM(BF65:BF72)</f>
        <v>-9877</v>
      </c>
      <c r="BG74" s="23">
        <f>SUM(BG65:BG72)</f>
        <v>-810</v>
      </c>
      <c r="BH74" s="23">
        <f>SUM(BH65:BH72)</f>
        <v>-28266</v>
      </c>
      <c r="BI74" s="23">
        <f>SUM(BI65:BI72)</f>
        <v>-833</v>
      </c>
      <c r="BJ74" s="304">
        <f>SUM(BF74:BI74)</f>
        <v>-39786</v>
      </c>
      <c r="BK74" s="23">
        <f>SUM(BK65:BK72)</f>
        <v>-11914</v>
      </c>
      <c r="BL74" s="23">
        <f>SUM(BL65:BL72)</f>
        <v>-902</v>
      </c>
      <c r="BM74" s="23"/>
      <c r="BN74" s="23"/>
      <c r="BO74" s="304">
        <f>SUM(BO65:BO72)</f>
        <v>-12816</v>
      </c>
    </row>
    <row r="75" spans="2:67" ht="13">
      <c r="B75" s="174"/>
      <c r="C75" s="23"/>
      <c r="D75" s="23"/>
      <c r="E75" s="23"/>
      <c r="F75" s="25"/>
      <c r="G75" s="305"/>
      <c r="H75" s="23"/>
      <c r="I75" s="23"/>
      <c r="J75" s="23"/>
      <c r="K75" s="25"/>
      <c r="L75" s="305"/>
      <c r="M75" s="23"/>
      <c r="N75" s="23"/>
      <c r="O75" s="89"/>
      <c r="P75" s="90"/>
      <c r="Q75" s="306"/>
      <c r="R75" s="227"/>
      <c r="S75" s="89"/>
      <c r="T75" s="89"/>
      <c r="U75" s="90"/>
      <c r="V75" s="306"/>
      <c r="W75" s="227"/>
      <c r="X75" s="89"/>
      <c r="Y75" s="89"/>
      <c r="Z75" s="90"/>
      <c r="AA75" s="306"/>
      <c r="AB75" s="227"/>
      <c r="AC75" s="19"/>
      <c r="AD75" s="19"/>
      <c r="AE75" s="90"/>
      <c r="AF75" s="306"/>
      <c r="AG75" s="227"/>
      <c r="AH75" s="19"/>
      <c r="AI75" s="19"/>
      <c r="AJ75" s="90"/>
      <c r="AK75" s="306"/>
      <c r="AL75" s="227"/>
      <c r="AM75" s="19"/>
      <c r="AN75" s="19"/>
      <c r="AO75" s="90"/>
      <c r="AP75" s="306"/>
      <c r="AQ75" s="227"/>
      <c r="AR75" s="19"/>
      <c r="AS75" s="19"/>
      <c r="AT75" s="90"/>
      <c r="AU75" s="306"/>
      <c r="AV75" s="227"/>
      <c r="AW75" s="19"/>
      <c r="AX75" s="19"/>
      <c r="AY75" s="90"/>
      <c r="AZ75" s="306"/>
      <c r="BA75" s="227"/>
      <c r="BB75" s="19"/>
      <c r="BC75" s="19"/>
      <c r="BD75" s="90"/>
      <c r="BE75" s="306"/>
      <c r="BF75" s="227"/>
      <c r="BG75" s="19"/>
      <c r="BH75" s="19"/>
      <c r="BI75" s="90"/>
      <c r="BJ75" s="306"/>
      <c r="BK75" s="227"/>
      <c r="BL75" s="19"/>
      <c r="BM75" s="19"/>
      <c r="BN75" s="90"/>
      <c r="BO75" s="306"/>
    </row>
    <row r="76" spans="2:67" ht="13">
      <c r="B76" s="452" t="s">
        <v>218</v>
      </c>
      <c r="C76" s="453">
        <v>-34</v>
      </c>
      <c r="D76" s="453">
        <f>-13-C76</f>
        <v>21</v>
      </c>
      <c r="E76" s="453">
        <f>-47-C76-D76</f>
        <v>-34</v>
      </c>
      <c r="F76" s="454">
        <f>-121-C76-D76-E76</f>
        <v>-74</v>
      </c>
      <c r="G76" s="442">
        <f>SUM(C76:F76)</f>
        <v>-121</v>
      </c>
      <c r="H76" s="444">
        <v>25</v>
      </c>
      <c r="I76" s="463">
        <f>6-H76</f>
        <v>-19</v>
      </c>
      <c r="J76" s="463">
        <f>-13-H76-I76</f>
        <v>-19</v>
      </c>
      <c r="K76" s="464">
        <f>16-H76-I76-J76</f>
        <v>29</v>
      </c>
      <c r="L76" s="442">
        <f t="shared" si="54"/>
        <v>16</v>
      </c>
      <c r="M76" s="19">
        <v>-10</v>
      </c>
      <c r="N76" s="89">
        <f>-44-M76</f>
        <v>-34</v>
      </c>
      <c r="O76" s="89">
        <f>-86-M76-N76</f>
        <v>-42</v>
      </c>
      <c r="P76" s="90">
        <v>-36</v>
      </c>
      <c r="Q76" s="445">
        <f t="shared" si="55"/>
        <v>-122</v>
      </c>
      <c r="R76" s="227">
        <v>38</v>
      </c>
      <c r="S76" s="89">
        <v>31</v>
      </c>
      <c r="T76" s="89">
        <f>27-R76-S76</f>
        <v>-42</v>
      </c>
      <c r="U76" s="90">
        <f>81-T76-S76-R76</f>
        <v>54</v>
      </c>
      <c r="V76" s="207">
        <f>SUM(R76:U76)</f>
        <v>81</v>
      </c>
      <c r="W76" s="227">
        <v>-41</v>
      </c>
      <c r="X76" s="89">
        <f>64-W76</f>
        <v>105</v>
      </c>
      <c r="Y76" s="89">
        <f>-36-X76-W76</f>
        <v>-100</v>
      </c>
      <c r="Z76" s="90">
        <f>-57-Y76-X76-W76-1</f>
        <v>-22</v>
      </c>
      <c r="AA76" s="207">
        <f>SUM(W76:Z76)+1</f>
        <v>-57</v>
      </c>
      <c r="AB76" s="227">
        <v>-19</v>
      </c>
      <c r="AC76" s="19">
        <v>-39</v>
      </c>
      <c r="AD76" s="19">
        <v>52</v>
      </c>
      <c r="AE76" s="90">
        <v>-86</v>
      </c>
      <c r="AF76" s="207">
        <f>SUM(AB76:AE76)</f>
        <v>-92</v>
      </c>
      <c r="AG76" s="227">
        <v>59</v>
      </c>
      <c r="AH76" s="19">
        <f>78-AG76</f>
        <v>19</v>
      </c>
      <c r="AI76" s="19">
        <f>164-AH76-AG76</f>
        <v>86</v>
      </c>
      <c r="AJ76" s="90">
        <f>85-AI76-AH76-AG76-2</f>
        <v>-81</v>
      </c>
      <c r="AK76" s="207">
        <f>SUM(AG76:AJ76)</f>
        <v>83</v>
      </c>
      <c r="AL76" s="227">
        <v>66</v>
      </c>
      <c r="AM76" s="19">
        <f>-30-AL76</f>
        <v>-96</v>
      </c>
      <c r="AN76" s="19">
        <f>-75-AM76-AL76</f>
        <v>-45</v>
      </c>
      <c r="AO76" s="90">
        <f>-69-AN76-AM76-AL76</f>
        <v>6</v>
      </c>
      <c r="AP76" s="207">
        <f>SUM(AL76:AO76)</f>
        <v>-69</v>
      </c>
      <c r="AQ76" s="227">
        <v>-89</v>
      </c>
      <c r="AR76" s="19">
        <f>-217-AQ76</f>
        <v>-128</v>
      </c>
      <c r="AS76" s="19">
        <v>-72</v>
      </c>
      <c r="AT76" s="90">
        <f>138-AS76-AR76-AQ76</f>
        <v>427</v>
      </c>
      <c r="AU76" s="207">
        <f>SUM(AQ76:AT76)</f>
        <v>138</v>
      </c>
      <c r="AV76" s="227">
        <v>15</v>
      </c>
      <c r="AW76" s="19">
        <f>-35-AV76</f>
        <v>-50</v>
      </c>
      <c r="AX76" s="19">
        <f>17-SUM(AV76:AW76)</f>
        <v>52</v>
      </c>
      <c r="AY76" s="90">
        <f>-84-SUM(AV76:AX76)</f>
        <v>-101</v>
      </c>
      <c r="AZ76" s="207">
        <f>SUM(AV76:AY76)</f>
        <v>-84</v>
      </c>
      <c r="BA76" s="227">
        <v>-62</v>
      </c>
      <c r="BB76" s="19">
        <f>61-BA76</f>
        <v>123</v>
      </c>
      <c r="BC76" s="19">
        <f>-176-BB76-BA76</f>
        <v>-237</v>
      </c>
      <c r="BD76" s="90">
        <f>82-SUM(BA76:BC76)</f>
        <v>258</v>
      </c>
      <c r="BE76" s="207">
        <f>SUM(BA76:BD76)</f>
        <v>82</v>
      </c>
      <c r="BF76" s="227">
        <v>284</v>
      </c>
      <c r="BG76" s="19">
        <f>685-BF76</f>
        <v>401</v>
      </c>
      <c r="BH76" s="19">
        <f>854-BF76-BG76</f>
        <v>169</v>
      </c>
      <c r="BI76" s="90">
        <f>1600-BH76-BG76-BF76</f>
        <v>746</v>
      </c>
      <c r="BJ76" s="207">
        <f>SUM(BF76:BI76)</f>
        <v>1600</v>
      </c>
      <c r="BK76" s="227">
        <v>38</v>
      </c>
      <c r="BL76" s="19">
        <f>BO76-BK76</f>
        <v>-14</v>
      </c>
      <c r="BM76" s="19"/>
      <c r="BN76" s="90"/>
      <c r="BO76" s="207">
        <v>24</v>
      </c>
    </row>
    <row r="77" spans="2:67" ht="13">
      <c r="B77" s="452" t="s">
        <v>219</v>
      </c>
      <c r="C77" s="453">
        <v>-857</v>
      </c>
      <c r="D77" s="453">
        <f>2495-C77</f>
        <v>3352</v>
      </c>
      <c r="E77" s="453">
        <f>6120-C77-D77</f>
        <v>3625</v>
      </c>
      <c r="F77" s="454">
        <f>4538-C77-D77-E77</f>
        <v>-1582</v>
      </c>
      <c r="G77" s="442">
        <f>SUM(C77:F77)</f>
        <v>4538</v>
      </c>
      <c r="H77" s="444">
        <v>-2250</v>
      </c>
      <c r="I77" s="463">
        <f>-427-H77</f>
        <v>1823</v>
      </c>
      <c r="J77" s="463">
        <f>-878-H77-I77</f>
        <v>-451</v>
      </c>
      <c r="K77" s="464">
        <f>2314-H77-I77-J77</f>
        <v>3192</v>
      </c>
      <c r="L77" s="442">
        <f t="shared" si="54"/>
        <v>2314</v>
      </c>
      <c r="M77" s="19">
        <v>-1637</v>
      </c>
      <c r="N77" s="89">
        <f>-921-M77</f>
        <v>716</v>
      </c>
      <c r="O77" s="89">
        <f>-6498-M77-N77</f>
        <v>-5577</v>
      </c>
      <c r="P77" s="90">
        <v>-3452</v>
      </c>
      <c r="Q77" s="445">
        <f t="shared" si="55"/>
        <v>-9950</v>
      </c>
      <c r="R77" s="227">
        <v>454</v>
      </c>
      <c r="S77" s="89">
        <v>191</v>
      </c>
      <c r="T77" s="89">
        <f>-2041-R77-S77</f>
        <v>-2686</v>
      </c>
      <c r="U77" s="90">
        <f>-2835-T77-S77-R77</f>
        <v>-794</v>
      </c>
      <c r="V77" s="207">
        <f>SUM(R77:U77)</f>
        <v>-2835</v>
      </c>
      <c r="W77" s="227">
        <f t="shared" ref="W77:BE77" si="57">W74+W62+W32</f>
        <v>-3250</v>
      </c>
      <c r="X77" s="19">
        <f t="shared" si="57"/>
        <v>1227</v>
      </c>
      <c r="Y77" s="19">
        <f t="shared" si="57"/>
        <v>-1364</v>
      </c>
      <c r="Z77" s="19">
        <f t="shared" si="57"/>
        <v>3142</v>
      </c>
      <c r="AA77" s="207">
        <f t="shared" si="57"/>
        <v>-246</v>
      </c>
      <c r="AB77" s="227">
        <f t="shared" si="57"/>
        <v>-3907</v>
      </c>
      <c r="AC77" s="19">
        <f t="shared" si="57"/>
        <v>870</v>
      </c>
      <c r="AD77" s="19">
        <f t="shared" si="57"/>
        <v>763</v>
      </c>
      <c r="AE77" s="19">
        <f t="shared" si="57"/>
        <v>1447</v>
      </c>
      <c r="AF77" s="207">
        <f t="shared" si="57"/>
        <v>-827</v>
      </c>
      <c r="AG77" s="19">
        <f t="shared" si="57"/>
        <v>4331</v>
      </c>
      <c r="AH77" s="19">
        <f t="shared" si="57"/>
        <v>-647</v>
      </c>
      <c r="AI77" s="19">
        <f t="shared" si="57"/>
        <v>-418</v>
      </c>
      <c r="AJ77" s="19">
        <f t="shared" si="57"/>
        <v>2716</v>
      </c>
      <c r="AK77" s="207">
        <f t="shared" si="57"/>
        <v>5982</v>
      </c>
      <c r="AL77" s="19">
        <f t="shared" si="57"/>
        <v>-3441</v>
      </c>
      <c r="AM77" s="19">
        <f t="shared" si="57"/>
        <v>-3187</v>
      </c>
      <c r="AN77" s="19">
        <f t="shared" si="57"/>
        <v>-2068</v>
      </c>
      <c r="AO77" s="19">
        <f t="shared" si="57"/>
        <v>1523</v>
      </c>
      <c r="AP77" s="207">
        <f t="shared" si="57"/>
        <v>-7173</v>
      </c>
      <c r="AQ77" s="19">
        <f t="shared" si="57"/>
        <v>-3401</v>
      </c>
      <c r="AR77" s="19">
        <f t="shared" si="57"/>
        <v>1015</v>
      </c>
      <c r="AS77" s="19">
        <f t="shared" si="57"/>
        <v>-3210</v>
      </c>
      <c r="AT77" s="19">
        <f t="shared" si="57"/>
        <v>159</v>
      </c>
      <c r="AU77" s="207">
        <f t="shared" si="57"/>
        <v>-5437</v>
      </c>
      <c r="AV77" s="19">
        <f t="shared" si="57"/>
        <v>7384</v>
      </c>
      <c r="AW77" s="19">
        <f t="shared" si="57"/>
        <v>-3809</v>
      </c>
      <c r="AX77" s="19">
        <f t="shared" si="57"/>
        <v>-2120</v>
      </c>
      <c r="AY77" s="19">
        <f t="shared" si="57"/>
        <v>1242</v>
      </c>
      <c r="AZ77" s="207">
        <f t="shared" si="57"/>
        <v>2697</v>
      </c>
      <c r="BA77" s="19">
        <f t="shared" si="57"/>
        <v>13333</v>
      </c>
      <c r="BB77" s="19">
        <f t="shared" si="57"/>
        <v>-6381</v>
      </c>
      <c r="BC77" s="19">
        <f t="shared" si="57"/>
        <v>1242</v>
      </c>
      <c r="BD77" s="19">
        <f t="shared" si="57"/>
        <v>1393</v>
      </c>
      <c r="BE77" s="207">
        <f t="shared" si="57"/>
        <v>9587</v>
      </c>
      <c r="BF77" s="19">
        <v>2720</v>
      </c>
      <c r="BG77" s="19">
        <f>6692-BF77</f>
        <v>3972</v>
      </c>
      <c r="BH77" s="19">
        <f>-5394-BF77-BG77</f>
        <v>-12086</v>
      </c>
      <c r="BI77" s="19">
        <f>-3854-BH77-BG77-BF77</f>
        <v>1540</v>
      </c>
      <c r="BJ77" s="207">
        <f>BJ74+BJ62+BJ32</f>
        <v>-3854</v>
      </c>
      <c r="BK77" s="19">
        <v>-594</v>
      </c>
      <c r="BL77" s="19">
        <f>BO77-BK77</f>
        <v>2719</v>
      </c>
      <c r="BM77" s="19"/>
      <c r="BN77" s="19"/>
      <c r="BO77" s="207">
        <v>2125</v>
      </c>
    </row>
    <row r="78" spans="2:67" ht="13.5">
      <c r="B78" s="452" t="s">
        <v>220</v>
      </c>
      <c r="C78" s="318">
        <v>25950</v>
      </c>
      <c r="D78" s="318">
        <v>25950</v>
      </c>
      <c r="E78" s="318">
        <v>25950</v>
      </c>
      <c r="F78" s="319">
        <v>25950</v>
      </c>
      <c r="G78" s="327" t="e">
        <f>#REF!</f>
        <v>#REF!</v>
      </c>
      <c r="H78" s="314">
        <v>30367</v>
      </c>
      <c r="I78" s="314">
        <v>30367</v>
      </c>
      <c r="J78" s="314">
        <v>30367</v>
      </c>
      <c r="K78" s="315">
        <v>30367</v>
      </c>
      <c r="L78" s="313" t="e">
        <f>G79</f>
        <v>#REF!</v>
      </c>
      <c r="M78" s="317">
        <v>32697</v>
      </c>
      <c r="N78" s="317">
        <v>32697</v>
      </c>
      <c r="O78" s="317">
        <v>32697</v>
      </c>
      <c r="P78" s="328">
        <v>32697</v>
      </c>
      <c r="Q78" s="316" t="e">
        <f>L79</f>
        <v>#REF!</v>
      </c>
      <c r="R78" s="329">
        <v>22625</v>
      </c>
      <c r="S78" s="317">
        <f>R79</f>
        <v>23117</v>
      </c>
      <c r="T78" s="317">
        <f>S79</f>
        <v>23339</v>
      </c>
      <c r="U78" s="328">
        <f>T79</f>
        <v>20611</v>
      </c>
      <c r="V78" s="316">
        <v>22625</v>
      </c>
      <c r="W78" s="329">
        <f>U79</f>
        <v>19871</v>
      </c>
      <c r="X78" s="317">
        <f>W79</f>
        <v>16580</v>
      </c>
      <c r="Y78" s="317">
        <f>X79</f>
        <v>17912</v>
      </c>
      <c r="Z78" s="328">
        <f>Y79</f>
        <v>16448</v>
      </c>
      <c r="AA78" s="316">
        <f>V79</f>
        <v>19871</v>
      </c>
      <c r="AB78" s="329">
        <f>Z79</f>
        <v>19568</v>
      </c>
      <c r="AC78" s="317">
        <f>AB79</f>
        <v>15642</v>
      </c>
      <c r="AD78" s="317">
        <f>AC79</f>
        <v>16473</v>
      </c>
      <c r="AE78" s="328">
        <f>AD79</f>
        <v>17288</v>
      </c>
      <c r="AF78" s="326">
        <f>AA79</f>
        <v>19568</v>
      </c>
      <c r="AG78" s="329">
        <f>AE79</f>
        <v>18649</v>
      </c>
      <c r="AH78" s="317">
        <f>AG79</f>
        <v>23039</v>
      </c>
      <c r="AI78" s="317">
        <f>AH79</f>
        <v>22411</v>
      </c>
      <c r="AJ78" s="317">
        <f>AI79</f>
        <v>22079</v>
      </c>
      <c r="AK78" s="326">
        <f>AF79</f>
        <v>18649</v>
      </c>
      <c r="AL78" s="329">
        <f>AJ79</f>
        <v>24714</v>
      </c>
      <c r="AM78" s="317">
        <f>AL79</f>
        <v>21339</v>
      </c>
      <c r="AN78" s="317">
        <f>AM79</f>
        <v>18056</v>
      </c>
      <c r="AO78" s="317">
        <f>AN79</f>
        <v>15943</v>
      </c>
      <c r="AP78" s="326">
        <f>AK79</f>
        <v>24714</v>
      </c>
      <c r="AQ78" s="317">
        <f>AP79</f>
        <v>17472</v>
      </c>
      <c r="AR78" s="317">
        <f>AQ79</f>
        <v>13982</v>
      </c>
      <c r="AS78" s="317">
        <f>AR79</f>
        <v>14869</v>
      </c>
      <c r="AT78" s="317">
        <f>AS79</f>
        <v>11587</v>
      </c>
      <c r="AU78" s="326">
        <f>AP79</f>
        <v>17472</v>
      </c>
      <c r="AV78" s="317">
        <f>AU79</f>
        <v>12173</v>
      </c>
      <c r="AW78" s="317">
        <f>AV79</f>
        <v>19572</v>
      </c>
      <c r="AX78" s="317">
        <f>AW79</f>
        <v>15713</v>
      </c>
      <c r="AY78" s="317">
        <f>AX79</f>
        <v>13645</v>
      </c>
      <c r="AZ78" s="326">
        <f>AU79</f>
        <v>12173</v>
      </c>
      <c r="BA78" s="317">
        <f>AZ79</f>
        <v>14786</v>
      </c>
      <c r="BB78" s="317">
        <f>BA79</f>
        <v>28057</v>
      </c>
      <c r="BC78" s="317">
        <f>BB79</f>
        <v>21799</v>
      </c>
      <c r="BD78" s="317">
        <f>BC79</f>
        <v>22804</v>
      </c>
      <c r="BE78" s="326">
        <f>AZ79</f>
        <v>14786</v>
      </c>
      <c r="BF78" s="317">
        <f>BD79</f>
        <v>24455</v>
      </c>
      <c r="BG78" s="317">
        <f>BF79</f>
        <v>27459</v>
      </c>
      <c r="BH78" s="317">
        <f>BG79</f>
        <v>31832</v>
      </c>
      <c r="BI78" s="317">
        <f>BH79</f>
        <v>19915</v>
      </c>
      <c r="BJ78" s="326">
        <f>BE79</f>
        <v>24455</v>
      </c>
      <c r="BK78" s="317">
        <v>22201</v>
      </c>
      <c r="BL78" s="317">
        <f>BK79</f>
        <v>21645</v>
      </c>
      <c r="BM78" s="317"/>
      <c r="BN78" s="317"/>
      <c r="BO78" s="326">
        <v>22201</v>
      </c>
    </row>
    <row r="79" spans="2:67" s="158" customFormat="1">
      <c r="B79" s="175" t="s">
        <v>221</v>
      </c>
      <c r="C79" s="293">
        <f t="shared" ref="C79:K79" si="58">SUM(C76:C78)</f>
        <v>25059</v>
      </c>
      <c r="D79" s="293">
        <f t="shared" si="58"/>
        <v>29323</v>
      </c>
      <c r="E79" s="293">
        <f t="shared" si="58"/>
        <v>29541</v>
      </c>
      <c r="F79" s="297">
        <f t="shared" si="58"/>
        <v>24294</v>
      </c>
      <c r="G79" s="298" t="e">
        <f t="shared" si="58"/>
        <v>#REF!</v>
      </c>
      <c r="H79" s="293">
        <f t="shared" si="58"/>
        <v>28142</v>
      </c>
      <c r="I79" s="293">
        <f t="shared" si="58"/>
        <v>32171</v>
      </c>
      <c r="J79" s="293">
        <f t="shared" si="58"/>
        <v>29897</v>
      </c>
      <c r="K79" s="297">
        <f t="shared" si="58"/>
        <v>33588</v>
      </c>
      <c r="L79" s="298" t="e">
        <f t="shared" ref="L79:T79" si="59">SUM(L76:L78)</f>
        <v>#REF!</v>
      </c>
      <c r="M79" s="293">
        <f t="shared" si="59"/>
        <v>31050</v>
      </c>
      <c r="N79" s="293">
        <f t="shared" si="59"/>
        <v>33379</v>
      </c>
      <c r="O79" s="293">
        <f t="shared" si="59"/>
        <v>27078</v>
      </c>
      <c r="P79" s="297">
        <f t="shared" si="59"/>
        <v>29209</v>
      </c>
      <c r="Q79" s="296" t="e">
        <f t="shared" si="59"/>
        <v>#REF!</v>
      </c>
      <c r="R79" s="299">
        <f t="shared" si="59"/>
        <v>23117</v>
      </c>
      <c r="S79" s="293">
        <f t="shared" si="59"/>
        <v>23339</v>
      </c>
      <c r="T79" s="293">
        <f t="shared" si="59"/>
        <v>20611</v>
      </c>
      <c r="U79" s="297">
        <f>SUM(U76:U78)</f>
        <v>19871</v>
      </c>
      <c r="V79" s="296">
        <f t="shared" ref="V79:AA79" si="60">SUM(V76:V78)</f>
        <v>19871</v>
      </c>
      <c r="W79" s="299">
        <f t="shared" si="60"/>
        <v>16580</v>
      </c>
      <c r="X79" s="293">
        <f t="shared" si="60"/>
        <v>17912</v>
      </c>
      <c r="Y79" s="293">
        <f t="shared" si="60"/>
        <v>16448</v>
      </c>
      <c r="Z79" s="293">
        <f t="shared" si="60"/>
        <v>19568</v>
      </c>
      <c r="AA79" s="296">
        <f t="shared" si="60"/>
        <v>19568</v>
      </c>
      <c r="AB79" s="299">
        <f t="shared" ref="AB79:AT79" si="61">SUM(AB76:AB78)</f>
        <v>15642</v>
      </c>
      <c r="AC79" s="293">
        <f t="shared" si="61"/>
        <v>16473</v>
      </c>
      <c r="AD79" s="293">
        <f t="shared" si="61"/>
        <v>17288</v>
      </c>
      <c r="AE79" s="293">
        <f t="shared" si="61"/>
        <v>18649</v>
      </c>
      <c r="AF79" s="296">
        <f t="shared" si="61"/>
        <v>18649</v>
      </c>
      <c r="AG79" s="293">
        <f t="shared" si="61"/>
        <v>23039</v>
      </c>
      <c r="AH79" s="293">
        <f t="shared" si="61"/>
        <v>22411</v>
      </c>
      <c r="AI79" s="293">
        <f t="shared" si="61"/>
        <v>22079</v>
      </c>
      <c r="AJ79" s="293">
        <f t="shared" si="61"/>
        <v>24714</v>
      </c>
      <c r="AK79" s="296">
        <f>SUM(AK76:AK78)</f>
        <v>24714</v>
      </c>
      <c r="AL79" s="293">
        <f t="shared" si="61"/>
        <v>21339</v>
      </c>
      <c r="AM79" s="293">
        <f t="shared" si="61"/>
        <v>18056</v>
      </c>
      <c r="AN79" s="293">
        <f t="shared" si="61"/>
        <v>15943</v>
      </c>
      <c r="AO79" s="293">
        <f t="shared" si="61"/>
        <v>17472</v>
      </c>
      <c r="AP79" s="296">
        <f>SUM(AP76:AP78)</f>
        <v>17472</v>
      </c>
      <c r="AQ79" s="293">
        <f t="shared" si="61"/>
        <v>13982</v>
      </c>
      <c r="AR79" s="293">
        <f t="shared" si="61"/>
        <v>14869</v>
      </c>
      <c r="AS79" s="293">
        <f t="shared" si="61"/>
        <v>11587</v>
      </c>
      <c r="AT79" s="293">
        <f t="shared" si="61"/>
        <v>12173</v>
      </c>
      <c r="AU79" s="296">
        <f t="shared" ref="AU79:BA79" si="62">SUM(AU76:AU78)</f>
        <v>12173</v>
      </c>
      <c r="AV79" s="293">
        <f t="shared" si="62"/>
        <v>19572</v>
      </c>
      <c r="AW79" s="293">
        <f t="shared" si="62"/>
        <v>15713</v>
      </c>
      <c r="AX79" s="293">
        <f>SUM(AX76:AX78)</f>
        <v>13645</v>
      </c>
      <c r="AY79" s="293">
        <f t="shared" si="62"/>
        <v>14786</v>
      </c>
      <c r="AZ79" s="296">
        <f t="shared" si="62"/>
        <v>14786</v>
      </c>
      <c r="BA79" s="293">
        <f t="shared" si="62"/>
        <v>28057</v>
      </c>
      <c r="BB79" s="293">
        <f t="shared" ref="BB79:BG79" si="63">SUM(BB76:BB78)</f>
        <v>21799</v>
      </c>
      <c r="BC79" s="293">
        <f t="shared" si="63"/>
        <v>22804</v>
      </c>
      <c r="BD79" s="293">
        <f t="shared" si="63"/>
        <v>24455</v>
      </c>
      <c r="BE79" s="296">
        <f t="shared" si="63"/>
        <v>24455</v>
      </c>
      <c r="BF79" s="293">
        <f t="shared" si="63"/>
        <v>27459</v>
      </c>
      <c r="BG79" s="293">
        <f t="shared" si="63"/>
        <v>31832</v>
      </c>
      <c r="BH79" s="293">
        <f>SUM(BH76:BH78)</f>
        <v>19915</v>
      </c>
      <c r="BI79" s="293">
        <f>SUM(BI76:BI78)</f>
        <v>22201</v>
      </c>
      <c r="BJ79" s="296">
        <f>SUM(BJ76:BJ78)</f>
        <v>22201</v>
      </c>
      <c r="BK79" s="293">
        <f>SUM(BK76:BK78)</f>
        <v>21645</v>
      </c>
      <c r="BL79" s="293">
        <f>SUM(BL76:BL78)</f>
        <v>24350</v>
      </c>
      <c r="BM79" s="293"/>
      <c r="BN79" s="293"/>
      <c r="BO79" s="296">
        <f>SUM(BO76:BO78)</f>
        <v>24350</v>
      </c>
    </row>
    <row r="80" spans="2:67" ht="13">
      <c r="B80" s="175"/>
      <c r="C80" s="293"/>
      <c r="D80" s="293"/>
      <c r="E80" s="293"/>
      <c r="F80" s="297"/>
      <c r="G80" s="300"/>
      <c r="H80" s="293"/>
      <c r="I80" s="293"/>
      <c r="J80" s="293"/>
      <c r="K80" s="297"/>
      <c r="L80" s="300"/>
      <c r="M80" s="293"/>
      <c r="N80" s="293"/>
      <c r="O80" s="89"/>
      <c r="P80" s="90"/>
      <c r="Q80" s="207"/>
      <c r="R80" s="249"/>
      <c r="S80" s="89"/>
      <c r="T80" s="89"/>
      <c r="U80" s="90"/>
      <c r="V80" s="207"/>
      <c r="W80" s="249"/>
      <c r="X80" s="89"/>
      <c r="Y80" s="89"/>
      <c r="Z80" s="90"/>
      <c r="AA80" s="207"/>
      <c r="AB80" s="249"/>
      <c r="AC80" s="89"/>
      <c r="AD80" s="89"/>
      <c r="AE80" s="90"/>
      <c r="AF80" s="207"/>
      <c r="AG80" s="249"/>
      <c r="AH80" s="89"/>
      <c r="AI80" s="89"/>
      <c r="AJ80" s="90"/>
      <c r="AK80" s="207"/>
      <c r="AL80" s="249"/>
      <c r="AM80" s="89"/>
      <c r="AN80" s="89"/>
      <c r="AO80" s="90"/>
      <c r="AP80" s="207"/>
      <c r="AQ80" s="249"/>
      <c r="AR80" s="89"/>
      <c r="AS80" s="89"/>
      <c r="AT80" s="90"/>
      <c r="AU80" s="207"/>
      <c r="AV80" s="249"/>
      <c r="AW80" s="89"/>
      <c r="AX80" s="89"/>
      <c r="AY80" s="90"/>
      <c r="AZ80" s="207"/>
      <c r="BA80" s="249"/>
      <c r="BB80" s="89"/>
      <c r="BC80" s="89"/>
      <c r="BD80" s="90"/>
      <c r="BE80" s="207"/>
      <c r="BF80" s="249"/>
      <c r="BG80" s="89"/>
      <c r="BH80" s="89"/>
      <c r="BI80" s="90"/>
      <c r="BJ80" s="207"/>
      <c r="BK80" s="249"/>
      <c r="BL80" s="89"/>
      <c r="BM80" s="89"/>
      <c r="BN80" s="90"/>
      <c r="BO80" s="207"/>
    </row>
    <row r="81" spans="2:67" ht="13">
      <c r="B81" s="174" t="s">
        <v>222</v>
      </c>
      <c r="C81" s="238"/>
      <c r="D81" s="238"/>
      <c r="E81" s="238"/>
      <c r="F81" s="173"/>
      <c r="G81" s="442"/>
      <c r="H81" s="444"/>
      <c r="I81" s="244"/>
      <c r="J81" s="244"/>
      <c r="K81" s="165"/>
      <c r="L81" s="442"/>
      <c r="M81" s="240"/>
      <c r="N81" s="89"/>
      <c r="O81" s="89"/>
      <c r="P81" s="90"/>
      <c r="Q81" s="445"/>
      <c r="R81" s="249"/>
      <c r="S81" s="89"/>
      <c r="T81" s="89"/>
      <c r="U81" s="90"/>
      <c r="V81" s="445"/>
      <c r="W81" s="249"/>
      <c r="X81" s="89"/>
      <c r="Y81" s="89"/>
      <c r="Z81" s="90"/>
      <c r="AA81" s="445"/>
      <c r="AB81" s="249"/>
      <c r="AC81" s="89"/>
      <c r="AD81" s="89"/>
      <c r="AE81" s="90"/>
      <c r="AF81" s="207"/>
      <c r="AG81" s="249"/>
      <c r="AH81" s="89"/>
      <c r="AI81" s="89"/>
      <c r="AJ81" s="90"/>
      <c r="AK81" s="207"/>
      <c r="AL81" s="249"/>
      <c r="AM81" s="89"/>
      <c r="AN81" s="89"/>
      <c r="AO81" s="90"/>
      <c r="AP81" s="207"/>
      <c r="AQ81" s="249"/>
      <c r="AR81" s="89"/>
      <c r="AS81" s="89"/>
      <c r="AT81" s="90"/>
      <c r="AU81" s="207"/>
      <c r="AV81" s="249"/>
      <c r="AW81" s="89"/>
      <c r="AX81" s="89"/>
      <c r="AY81" s="90"/>
      <c r="AZ81" s="207"/>
      <c r="BA81" s="249"/>
      <c r="BB81" s="89"/>
      <c r="BC81" s="89"/>
      <c r="BD81" s="90"/>
      <c r="BE81" s="207"/>
      <c r="BF81" s="249"/>
      <c r="BG81" s="89"/>
      <c r="BH81" s="89"/>
      <c r="BI81" s="90"/>
      <c r="BJ81" s="207"/>
      <c r="BK81" s="249"/>
      <c r="BL81" s="89"/>
      <c r="BM81" s="89"/>
      <c r="BN81" s="90"/>
      <c r="BO81" s="207"/>
    </row>
    <row r="82" spans="2:67" s="155" customFormat="1" ht="13">
      <c r="B82" s="465" t="s">
        <v>223</v>
      </c>
      <c r="C82" s="466">
        <v>327</v>
      </c>
      <c r="D82" s="466">
        <v>351</v>
      </c>
      <c r="E82" s="466">
        <v>361</v>
      </c>
      <c r="F82" s="467">
        <v>364</v>
      </c>
      <c r="G82" s="468">
        <v>364</v>
      </c>
      <c r="H82" s="307">
        <v>375</v>
      </c>
      <c r="I82" s="307">
        <v>382</v>
      </c>
      <c r="J82" s="307">
        <v>438</v>
      </c>
      <c r="K82" s="308">
        <v>492</v>
      </c>
      <c r="L82" s="309">
        <v>492</v>
      </c>
      <c r="M82" s="307">
        <v>512</v>
      </c>
      <c r="N82" s="307">
        <v>522</v>
      </c>
      <c r="O82" s="98">
        <v>517</v>
      </c>
      <c r="P82" s="99">
        <v>572</v>
      </c>
      <c r="Q82" s="310">
        <v>572</v>
      </c>
      <c r="R82" s="250">
        <v>601</v>
      </c>
      <c r="S82" s="98">
        <v>554</v>
      </c>
      <c r="T82" s="98">
        <v>553</v>
      </c>
      <c r="U82" s="99">
        <v>533</v>
      </c>
      <c r="V82" s="469">
        <v>533</v>
      </c>
      <c r="W82" s="250">
        <v>433</v>
      </c>
      <c r="X82" s="98">
        <v>330</v>
      </c>
      <c r="Y82" s="98">
        <v>351</v>
      </c>
      <c r="Z82" s="99">
        <v>358</v>
      </c>
      <c r="AA82" s="469">
        <v>358</v>
      </c>
      <c r="AB82" s="250">
        <v>383</v>
      </c>
      <c r="AC82" s="98">
        <v>375</v>
      </c>
      <c r="AD82" s="80">
        <v>367</v>
      </c>
      <c r="AE82" s="99">
        <v>396</v>
      </c>
      <c r="AF82" s="310">
        <v>396</v>
      </c>
      <c r="AG82" s="250">
        <v>387</v>
      </c>
      <c r="AH82" s="98">
        <v>404</v>
      </c>
      <c r="AI82" s="98">
        <v>442</v>
      </c>
      <c r="AJ82" s="99">
        <v>504</v>
      </c>
      <c r="AK82" s="310">
        <v>504</v>
      </c>
      <c r="AL82" s="250">
        <v>528</v>
      </c>
      <c r="AM82" s="98">
        <v>526</v>
      </c>
      <c r="AN82" s="98">
        <v>490</v>
      </c>
      <c r="AO82" s="99">
        <v>471</v>
      </c>
      <c r="AP82" s="310">
        <v>471</v>
      </c>
      <c r="AQ82" s="250">
        <v>422</v>
      </c>
      <c r="AR82" s="98">
        <v>465</v>
      </c>
      <c r="AS82" s="98">
        <v>384</v>
      </c>
      <c r="AT82" s="99">
        <v>362</v>
      </c>
      <c r="AU82" s="310">
        <v>362</v>
      </c>
      <c r="AV82" s="250">
        <v>381</v>
      </c>
      <c r="AW82" s="98">
        <v>365</v>
      </c>
      <c r="AX82" s="98">
        <v>376</v>
      </c>
      <c r="AY82" s="99">
        <v>348</v>
      </c>
      <c r="AZ82" s="310">
        <v>348</v>
      </c>
      <c r="BA82" s="250">
        <v>398</v>
      </c>
      <c r="BB82" s="98">
        <v>407</v>
      </c>
      <c r="BC82" s="98">
        <v>424</v>
      </c>
      <c r="BD82" s="99">
        <v>424</v>
      </c>
      <c r="BE82" s="310">
        <f>BC82</f>
        <v>424</v>
      </c>
      <c r="BF82" s="250">
        <v>407</v>
      </c>
      <c r="BG82" s="98">
        <v>410</v>
      </c>
      <c r="BH82" s="98">
        <v>409</v>
      </c>
      <c r="BI82" s="99">
        <v>422</v>
      </c>
      <c r="BJ82" s="310">
        <v>422</v>
      </c>
      <c r="BK82" s="250">
        <v>448</v>
      </c>
      <c r="BL82" s="98">
        <f>BO82</f>
        <v>443</v>
      </c>
      <c r="BM82" s="98"/>
      <c r="BN82" s="99"/>
      <c r="BO82" s="310">
        <v>443</v>
      </c>
    </row>
    <row r="83" spans="2:67">
      <c r="I83" s="159"/>
      <c r="J83" s="159"/>
      <c r="K83" s="159"/>
      <c r="L83" s="183"/>
    </row>
    <row r="84" spans="2:67" ht="13">
      <c r="B84" s="149" t="s">
        <v>101</v>
      </c>
    </row>
    <row r="85" spans="2:67" ht="13">
      <c r="B85" s="39" t="s">
        <v>102</v>
      </c>
    </row>
    <row r="86" spans="2:67" ht="13">
      <c r="B86" s="39"/>
    </row>
  </sheetData>
  <hyperlinks>
    <hyperlink ref="B1" location="Index!A1" display="Index" xr:uid="{387EEE37-6FB6-448A-A8A7-FD836FED710E}"/>
  </hyperlinks>
  <pageMargins left="0.26" right="0.22" top="0.75" bottom="0.75" header="0.3" footer="0.3"/>
  <pageSetup paperSize="9" scale="62" fitToHeight="0" orientation="portrait" horizontalDpi="90" verticalDpi="90" r:id="rId1"/>
  <headerFooter alignWithMargins="0"/>
  <rowBreaks count="1" manualBreakCount="1">
    <brk id="63" min="1" max="66" man="1"/>
  </rowBreaks>
  <customProperties>
    <customPr name="_pios_id" r:id="rId2"/>
    <customPr name="EpmWorksheetKeyString_GUID" r:id="rId3"/>
  </customProperties>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3574-B81B-4094-ADCD-672EEBD889F6}">
  <sheetPr codeName="Sheet5">
    <pageSetUpPr fitToPage="1"/>
  </sheetPr>
  <dimension ref="B1:BO51"/>
  <sheetViews>
    <sheetView showGridLines="0" zoomScaleNormal="100" workbookViewId="0">
      <pane xSplit="2" ySplit="5" topLeftCell="BJ6" activePane="bottomRight" state="frozen"/>
      <selection pane="topRight" activeCell="BT1" sqref="BT1"/>
      <selection pane="bottomLeft" activeCell="BT1" sqref="BT1"/>
      <selection pane="bottomRight" activeCell="B1" sqref="B1"/>
    </sheetView>
  </sheetViews>
  <sheetFormatPr defaultColWidth="9.1796875" defaultRowHeight="12" outlineLevelCol="2"/>
  <cols>
    <col min="1" max="1" width="2.54296875" style="16" customWidth="1"/>
    <col min="2" max="2" width="50.81640625" style="16" customWidth="1"/>
    <col min="3" max="6" width="9.81640625" style="16" hidden="1" customWidth="1" outlineLevel="2"/>
    <col min="7" max="7" width="9.81640625" style="16" hidden="1" customWidth="1" outlineLevel="1"/>
    <col min="8" max="11" width="9.81640625" style="16" hidden="1" customWidth="1" outlineLevel="2"/>
    <col min="12" max="12" width="9.81640625" style="16" hidden="1" customWidth="1" outlineLevel="1"/>
    <col min="13" max="16" width="9.81640625" style="16" hidden="1" customWidth="1" outlineLevel="2"/>
    <col min="17" max="17" width="9.81640625" style="16" hidden="1" customWidth="1" outlineLevel="1"/>
    <col min="18" max="21" width="9.81640625" style="16" hidden="1" customWidth="1" outlineLevel="2"/>
    <col min="22" max="22" width="9.81640625" style="16" hidden="1" customWidth="1" outlineLevel="1"/>
    <col min="23" max="26" width="9.81640625" style="16" hidden="1" customWidth="1" outlineLevel="2"/>
    <col min="27" max="27" width="9.81640625" style="16" hidden="1" customWidth="1" outlineLevel="1"/>
    <col min="28" max="31" width="9.81640625" style="16" hidden="1" customWidth="1" outlineLevel="2"/>
    <col min="32" max="36" width="9.81640625" style="16" hidden="1" customWidth="1" outlineLevel="1"/>
    <col min="37" max="37" width="9.81640625" style="16" customWidth="1" collapsed="1"/>
    <col min="38" max="41" width="9.81640625" style="16" hidden="1" customWidth="1" outlineLevel="1"/>
    <col min="42" max="42" width="9.81640625" style="16" customWidth="1" collapsed="1"/>
    <col min="43" max="46" width="9.81640625" style="16" hidden="1" customWidth="1" outlineLevel="1"/>
    <col min="47" max="47" width="9.81640625" style="16" customWidth="1" collapsed="1"/>
    <col min="48" max="51" width="9.81640625" style="16" hidden="1" customWidth="1" outlineLevel="1"/>
    <col min="52" max="52" width="9.81640625" style="16" customWidth="1" collapsed="1"/>
    <col min="53" max="56" width="9.81640625" style="16" hidden="1" customWidth="1" outlineLevel="1"/>
    <col min="57" max="57" width="9.81640625" style="16" customWidth="1" collapsed="1"/>
    <col min="58" max="61" width="9.81640625" style="16" hidden="1" customWidth="1" outlineLevel="1"/>
    <col min="62" max="62" width="10.453125" style="16" customWidth="1" collapsed="1"/>
    <col min="63" max="66" width="9.81640625" style="16" customWidth="1" outlineLevel="1"/>
    <col min="67" max="67" width="10.453125" style="16" customWidth="1"/>
    <col min="68" max="16384" width="9.1796875" style="16"/>
  </cols>
  <sheetData>
    <row r="1" spans="2:67">
      <c r="B1" s="398" t="s">
        <v>8</v>
      </c>
    </row>
    <row r="2" spans="2:67">
      <c r="C2" s="282"/>
      <c r="D2" s="282"/>
      <c r="E2" s="282"/>
      <c r="F2" s="282"/>
      <c r="G2" s="282"/>
      <c r="H2" s="282"/>
      <c r="I2" s="282"/>
      <c r="J2" s="282"/>
      <c r="K2" s="282"/>
      <c r="L2" s="282"/>
      <c r="M2" s="282"/>
      <c r="N2" s="282"/>
      <c r="O2" s="282"/>
      <c r="P2" s="282"/>
      <c r="Q2" s="282"/>
      <c r="R2" s="282"/>
      <c r="S2" s="282"/>
      <c r="T2" s="282"/>
      <c r="U2" s="282"/>
      <c r="V2" s="282"/>
      <c r="W2" s="282"/>
      <c r="X2" s="282"/>
      <c r="AB2" s="282"/>
      <c r="AC2" s="282"/>
      <c r="AG2" s="282"/>
      <c r="AH2" s="282"/>
      <c r="AI2" s="282"/>
      <c r="AL2" s="282"/>
      <c r="AM2" s="282"/>
      <c r="AN2" s="282"/>
      <c r="AQ2" s="282"/>
      <c r="AR2" s="282"/>
      <c r="AS2" s="282"/>
      <c r="AV2" s="282"/>
      <c r="AW2" s="282"/>
      <c r="AX2" s="282"/>
      <c r="BA2" s="282"/>
      <c r="BB2" s="282"/>
      <c r="BC2" s="282"/>
      <c r="BF2" s="282"/>
      <c r="BG2" s="282"/>
      <c r="BH2" s="282"/>
      <c r="BK2" s="282"/>
      <c r="BL2" s="282"/>
      <c r="BM2" s="282"/>
    </row>
    <row r="3" spans="2:67" s="100" customFormat="1" ht="15.5">
      <c r="B3" s="395" t="s">
        <v>9</v>
      </c>
      <c r="C3" s="282"/>
      <c r="D3" s="282"/>
      <c r="E3" s="282"/>
      <c r="F3" s="282"/>
      <c r="G3" s="282"/>
      <c r="H3" s="282"/>
      <c r="I3" s="282"/>
      <c r="J3" s="282"/>
      <c r="K3" s="282"/>
      <c r="L3" s="282"/>
      <c r="M3" s="282"/>
      <c r="N3" s="282"/>
      <c r="O3" s="282"/>
      <c r="P3" s="282"/>
      <c r="Q3" s="282"/>
      <c r="R3" s="282"/>
      <c r="S3" s="282"/>
      <c r="T3" s="282"/>
      <c r="U3" s="282"/>
      <c r="V3" s="282"/>
      <c r="W3" s="282"/>
      <c r="X3" s="282"/>
      <c r="AA3" s="101"/>
      <c r="AB3" s="282"/>
      <c r="AC3" s="282"/>
      <c r="AF3" s="101"/>
      <c r="AG3" s="282"/>
      <c r="AH3" s="282"/>
      <c r="AI3" s="282"/>
      <c r="AK3" s="101"/>
      <c r="AL3" s="282"/>
      <c r="AM3" s="282"/>
      <c r="AN3" s="282"/>
      <c r="AP3" s="101"/>
      <c r="AQ3" s="282"/>
      <c r="AR3" s="282"/>
      <c r="AS3" s="282"/>
      <c r="AU3" s="101"/>
      <c r="AV3" s="282"/>
      <c r="AW3" s="282"/>
      <c r="AX3" s="282"/>
      <c r="AZ3" s="101"/>
      <c r="BA3" s="282"/>
      <c r="BB3" s="282"/>
      <c r="BC3" s="282"/>
      <c r="BE3" s="101"/>
      <c r="BF3" s="282"/>
      <c r="BG3" s="282"/>
      <c r="BH3" s="282"/>
      <c r="BJ3" s="101"/>
      <c r="BK3" s="282"/>
      <c r="BL3" s="282"/>
      <c r="BM3" s="282"/>
      <c r="BO3" s="101"/>
    </row>
    <row r="4" spans="2:67" ht="15.5">
      <c r="B4" s="395" t="s">
        <v>10</v>
      </c>
      <c r="C4" s="101"/>
      <c r="D4" s="101"/>
      <c r="E4" s="101"/>
      <c r="F4" s="101"/>
      <c r="G4" s="101"/>
      <c r="H4" s="101"/>
      <c r="I4" s="101"/>
      <c r="J4" s="101"/>
      <c r="K4" s="101"/>
      <c r="L4" s="101"/>
      <c r="M4" s="101"/>
      <c r="N4" s="101"/>
      <c r="O4" s="101"/>
      <c r="P4" s="101"/>
      <c r="Q4" s="101"/>
      <c r="R4" s="101"/>
      <c r="S4" s="101"/>
      <c r="T4" s="101"/>
      <c r="U4" s="101"/>
      <c r="V4" s="101"/>
      <c r="W4" s="101"/>
      <c r="X4" s="101"/>
      <c r="AA4" s="101"/>
      <c r="AB4" s="101"/>
      <c r="AC4" s="101"/>
      <c r="AE4" s="145"/>
      <c r="AF4" s="101"/>
      <c r="AG4" s="101"/>
      <c r="AH4" s="101"/>
      <c r="AI4" s="101"/>
      <c r="AK4" s="383"/>
      <c r="AL4" s="383"/>
      <c r="AM4" s="383"/>
      <c r="AN4" s="383"/>
      <c r="AO4" s="147"/>
      <c r="AP4" s="383"/>
      <c r="AQ4" s="101"/>
      <c r="AR4" s="101"/>
      <c r="AS4" s="101"/>
      <c r="AU4" s="101"/>
      <c r="AV4" s="101"/>
      <c r="AW4" s="101"/>
      <c r="AX4" s="101"/>
      <c r="AZ4" s="101"/>
      <c r="BA4" s="101"/>
      <c r="BB4" s="101"/>
      <c r="BC4" s="101"/>
      <c r="BE4" s="101"/>
      <c r="BF4" s="101"/>
      <c r="BG4" s="101"/>
      <c r="BH4" s="101"/>
      <c r="BJ4" s="101"/>
      <c r="BK4" s="101"/>
      <c r="BL4" s="101"/>
      <c r="BM4" s="101"/>
      <c r="BO4" s="101"/>
    </row>
    <row r="5" spans="2:67" s="191" customFormat="1">
      <c r="B5" s="186" t="s">
        <v>224</v>
      </c>
      <c r="C5" s="196" t="s">
        <v>12</v>
      </c>
      <c r="D5" s="196" t="s">
        <v>13</v>
      </c>
      <c r="E5" s="196" t="s">
        <v>14</v>
      </c>
      <c r="F5" s="196" t="s">
        <v>15</v>
      </c>
      <c r="G5" s="197" t="s">
        <v>16</v>
      </c>
      <c r="H5" s="196" t="s">
        <v>17</v>
      </c>
      <c r="I5" s="196" t="s">
        <v>18</v>
      </c>
      <c r="J5" s="196" t="s">
        <v>19</v>
      </c>
      <c r="K5" s="196" t="s">
        <v>20</v>
      </c>
      <c r="L5" s="197" t="s">
        <v>21</v>
      </c>
      <c r="M5" s="196" t="s">
        <v>22</v>
      </c>
      <c r="N5" s="196" t="s">
        <v>23</v>
      </c>
      <c r="O5" s="196" t="s">
        <v>24</v>
      </c>
      <c r="P5" s="196" t="s">
        <v>25</v>
      </c>
      <c r="Q5" s="197" t="s">
        <v>165</v>
      </c>
      <c r="R5" s="196" t="s">
        <v>27</v>
      </c>
      <c r="S5" s="196" t="s">
        <v>28</v>
      </c>
      <c r="T5" s="196" t="s">
        <v>29</v>
      </c>
      <c r="U5" s="196" t="s">
        <v>30</v>
      </c>
      <c r="V5" s="197" t="s">
        <v>166</v>
      </c>
      <c r="W5" s="196" t="s">
        <v>32</v>
      </c>
      <c r="X5" s="196" t="s">
        <v>33</v>
      </c>
      <c r="Y5" s="196" t="s">
        <v>34</v>
      </c>
      <c r="Z5" s="196" t="s">
        <v>35</v>
      </c>
      <c r="AA5" s="197" t="s">
        <v>36</v>
      </c>
      <c r="AB5" s="187" t="s">
        <v>37</v>
      </c>
      <c r="AC5" s="187" t="s">
        <v>38</v>
      </c>
      <c r="AD5" s="187" t="s">
        <v>39</v>
      </c>
      <c r="AE5" s="187" t="s">
        <v>40</v>
      </c>
      <c r="AF5" s="188" t="s">
        <v>167</v>
      </c>
      <c r="AG5" s="187" t="s">
        <v>42</v>
      </c>
      <c r="AH5" s="187" t="s">
        <v>43</v>
      </c>
      <c r="AI5" s="187" t="s">
        <v>44</v>
      </c>
      <c r="AJ5" s="187" t="s">
        <v>45</v>
      </c>
      <c r="AK5" s="188" t="s">
        <v>46</v>
      </c>
      <c r="AL5" s="187" t="s">
        <v>47</v>
      </c>
      <c r="AM5" s="187" t="s">
        <v>48</v>
      </c>
      <c r="AN5" s="187" t="s">
        <v>49</v>
      </c>
      <c r="AO5" s="187" t="s">
        <v>50</v>
      </c>
      <c r="AP5" s="188" t="s">
        <v>225</v>
      </c>
      <c r="AQ5" s="187" t="s">
        <v>52</v>
      </c>
      <c r="AR5" s="187" t="s">
        <v>53</v>
      </c>
      <c r="AS5" s="187" t="s">
        <v>54</v>
      </c>
      <c r="AT5" s="187" t="s">
        <v>55</v>
      </c>
      <c r="AU5" s="188" t="s">
        <v>56</v>
      </c>
      <c r="AV5" s="187" t="s">
        <v>57</v>
      </c>
      <c r="AW5" s="187" t="s">
        <v>58</v>
      </c>
      <c r="AX5" s="187" t="s">
        <v>59</v>
      </c>
      <c r="AY5" s="187" t="s">
        <v>60</v>
      </c>
      <c r="AZ5" s="188" t="s">
        <v>61</v>
      </c>
      <c r="BA5" s="187" t="s">
        <v>62</v>
      </c>
      <c r="BB5" s="187" t="s">
        <v>63</v>
      </c>
      <c r="BC5" s="187" t="s">
        <v>64</v>
      </c>
      <c r="BD5" s="187" t="s">
        <v>65</v>
      </c>
      <c r="BE5" s="188" t="s">
        <v>66</v>
      </c>
      <c r="BF5" s="187" t="s">
        <v>67</v>
      </c>
      <c r="BG5" s="187" t="s">
        <v>68</v>
      </c>
      <c r="BH5" s="187" t="s">
        <v>69</v>
      </c>
      <c r="BI5" s="187" t="s">
        <v>70</v>
      </c>
      <c r="BJ5" s="188" t="s">
        <v>106</v>
      </c>
      <c r="BK5" s="187" t="s">
        <v>480</v>
      </c>
      <c r="BL5" s="187" t="s">
        <v>481</v>
      </c>
      <c r="BM5" s="187" t="s">
        <v>482</v>
      </c>
      <c r="BN5" s="187" t="s">
        <v>483</v>
      </c>
      <c r="BO5" s="188" t="s">
        <v>486</v>
      </c>
    </row>
    <row r="6" spans="2:67" s="39" customFormat="1">
      <c r="B6" s="2" t="s">
        <v>72</v>
      </c>
      <c r="C6" s="93">
        <v>2133</v>
      </c>
      <c r="D6" s="93">
        <v>2201</v>
      </c>
      <c r="E6" s="93">
        <v>2218</v>
      </c>
      <c r="F6" s="93">
        <v>2159</v>
      </c>
      <c r="G6" s="24">
        <f>SUM(C6:F6)</f>
        <v>8711</v>
      </c>
      <c r="H6" s="93">
        <v>2256</v>
      </c>
      <c r="I6" s="93">
        <v>2392</v>
      </c>
      <c r="J6" s="93">
        <v>2407</v>
      </c>
      <c r="K6" s="93">
        <v>2446</v>
      </c>
      <c r="L6" s="24">
        <f>SUM(H6:K6)</f>
        <v>9501</v>
      </c>
      <c r="M6" s="93">
        <v>2501</v>
      </c>
      <c r="N6" s="93">
        <v>2587</v>
      </c>
      <c r="O6" s="93">
        <v>2551</v>
      </c>
      <c r="P6" s="93">
        <v>2569</v>
      </c>
      <c r="Q6" s="24">
        <f>SUM(M6:P6)</f>
        <v>10208</v>
      </c>
      <c r="R6" s="93">
        <v>2651</v>
      </c>
      <c r="S6" s="93">
        <v>2728</v>
      </c>
      <c r="T6" s="229">
        <v>2755</v>
      </c>
      <c r="U6" s="229">
        <v>2805</v>
      </c>
      <c r="V6" s="24">
        <f>SUM(R6:U6)</f>
        <v>10939</v>
      </c>
      <c r="W6" s="93">
        <v>2831</v>
      </c>
      <c r="X6" s="93">
        <v>2921</v>
      </c>
      <c r="Y6" s="229">
        <v>2987</v>
      </c>
      <c r="Z6" s="229">
        <v>3060</v>
      </c>
      <c r="AA6" s="24">
        <f>SUM(W6:Z6)</f>
        <v>11799</v>
      </c>
      <c r="AB6" s="93">
        <v>3131</v>
      </c>
      <c r="AC6" s="93">
        <v>3210</v>
      </c>
      <c r="AD6" s="93">
        <v>3243</v>
      </c>
      <c r="AE6" s="229">
        <v>3197</v>
      </c>
      <c r="AF6" s="24">
        <f>SUM(AB6:AE6)-1</f>
        <v>12780</v>
      </c>
      <c r="AG6" s="93">
        <v>3121</v>
      </c>
      <c r="AH6" s="93">
        <v>3312</v>
      </c>
      <c r="AI6" s="93">
        <v>3516</v>
      </c>
      <c r="AJ6" s="229">
        <v>3613</v>
      </c>
      <c r="AK6" s="24">
        <f>SUM(AG6:AJ6)-1</f>
        <v>13561</v>
      </c>
      <c r="AL6" s="93">
        <v>3782</v>
      </c>
      <c r="AM6" s="93">
        <v>3998</v>
      </c>
      <c r="AN6" s="93">
        <v>4250</v>
      </c>
      <c r="AO6" s="229">
        <v>4280</v>
      </c>
      <c r="AP6" s="24">
        <f>SUM(AL6:AO6)+1</f>
        <v>16311</v>
      </c>
      <c r="AQ6" s="93">
        <v>4444</v>
      </c>
      <c r="AR6" s="93">
        <v>4555</v>
      </c>
      <c r="AS6" s="93">
        <v>4659</v>
      </c>
      <c r="AT6" s="229">
        <v>4554</v>
      </c>
      <c r="AU6" s="24">
        <f>SUM(AQ6:AT6)</f>
        <v>18212</v>
      </c>
      <c r="AV6" s="93">
        <v>4617</v>
      </c>
      <c r="AW6" s="93">
        <v>4718</v>
      </c>
      <c r="AX6" s="93">
        <v>4663</v>
      </c>
      <c r="AY6" s="229">
        <v>4564</v>
      </c>
      <c r="AZ6" s="24">
        <f>SUM(AV6:AY6)</f>
        <v>18562</v>
      </c>
      <c r="BA6" s="93">
        <v>4714</v>
      </c>
      <c r="BB6" s="93">
        <v>4894</v>
      </c>
      <c r="BC6" s="93">
        <v>4939</v>
      </c>
      <c r="BD6" s="229">
        <v>4730</v>
      </c>
      <c r="BE6" s="24">
        <f>SUM(BA6:BD6)</f>
        <v>19277</v>
      </c>
      <c r="BF6" s="93">
        <v>4941</v>
      </c>
      <c r="BG6" s="93">
        <v>5076</v>
      </c>
      <c r="BH6" s="93">
        <v>5099</v>
      </c>
      <c r="BI6" s="229">
        <v>5040</v>
      </c>
      <c r="BJ6" s="24">
        <f>SUM(BF6:BI6)+2</f>
        <v>20158</v>
      </c>
      <c r="BK6" s="93">
        <v>5082</v>
      </c>
      <c r="BL6" s="93">
        <v>5145</v>
      </c>
      <c r="BM6" s="93"/>
      <c r="BN6" s="229"/>
      <c r="BO6" s="24">
        <f>SUM(BK6:BN6)</f>
        <v>10227</v>
      </c>
    </row>
    <row r="7" spans="2:67" s="39" customFormat="1">
      <c r="B7" s="2"/>
      <c r="C7" s="93"/>
      <c r="D7" s="93"/>
      <c r="E7" s="93"/>
      <c r="F7" s="108"/>
      <c r="G7" s="24"/>
      <c r="H7" s="93"/>
      <c r="I7" s="93"/>
      <c r="J7" s="93"/>
      <c r="K7" s="108"/>
      <c r="L7" s="24"/>
      <c r="M7" s="93"/>
      <c r="N7" s="93"/>
      <c r="O7" s="93"/>
      <c r="P7" s="108"/>
      <c r="Q7" s="24"/>
      <c r="R7" s="109"/>
      <c r="S7" s="109"/>
      <c r="T7" s="230"/>
      <c r="U7" s="230"/>
      <c r="V7" s="24"/>
      <c r="W7" s="109"/>
      <c r="X7" s="109"/>
      <c r="Y7" s="230"/>
      <c r="Z7" s="230"/>
      <c r="AA7" s="24"/>
      <c r="AB7" s="109"/>
      <c r="AC7" s="109"/>
      <c r="AD7" s="109"/>
      <c r="AE7" s="230"/>
      <c r="AF7" s="24"/>
      <c r="AG7" s="109"/>
      <c r="AH7" s="109"/>
      <c r="AI7" s="109"/>
      <c r="AJ7" s="230"/>
      <c r="AK7" s="24"/>
      <c r="AL7" s="109"/>
      <c r="AM7" s="109"/>
      <c r="AN7" s="109"/>
      <c r="AO7" s="230"/>
      <c r="AP7" s="24"/>
      <c r="AQ7" s="109"/>
      <c r="AR7" s="109"/>
      <c r="AS7" s="109"/>
      <c r="AT7" s="230"/>
      <c r="AU7" s="24"/>
      <c r="AV7" s="109"/>
      <c r="AW7" s="109"/>
      <c r="AX7" s="109"/>
      <c r="AY7" s="230"/>
      <c r="AZ7" s="24"/>
      <c r="BA7" s="109"/>
      <c r="BB7" s="109"/>
      <c r="BC7" s="109"/>
      <c r="BD7" s="230"/>
      <c r="BE7" s="24"/>
      <c r="BF7" s="109"/>
      <c r="BG7" s="109"/>
      <c r="BH7" s="109"/>
      <c r="BI7" s="230"/>
      <c r="BJ7" s="24"/>
      <c r="BK7" s="109"/>
      <c r="BL7" s="109" t="s">
        <v>498</v>
      </c>
      <c r="BM7" s="109"/>
      <c r="BN7" s="230"/>
      <c r="BO7" s="24"/>
    </row>
    <row r="8" spans="2:67" ht="13.5">
      <c r="B8" s="3" t="s">
        <v>73</v>
      </c>
      <c r="C8" s="150">
        <v>1344</v>
      </c>
      <c r="D8" s="150">
        <v>1353</v>
      </c>
      <c r="E8" s="150">
        <v>1360</v>
      </c>
      <c r="F8" s="153">
        <v>1317</v>
      </c>
      <c r="G8" s="105">
        <f>SUM(C8:F8)</f>
        <v>5374</v>
      </c>
      <c r="H8" s="150">
        <v>1434</v>
      </c>
      <c r="I8" s="150">
        <v>1488</v>
      </c>
      <c r="J8" s="150">
        <v>1512</v>
      </c>
      <c r="K8" s="153">
        <v>1516</v>
      </c>
      <c r="L8" s="105">
        <f>SUM(H8:K8)</f>
        <v>5950</v>
      </c>
      <c r="M8" s="150">
        <v>1592</v>
      </c>
      <c r="N8" s="150">
        <v>1638</v>
      </c>
      <c r="O8" s="150">
        <v>1601</v>
      </c>
      <c r="P8" s="153">
        <v>1614</v>
      </c>
      <c r="Q8" s="105">
        <f>SUM(M8:P8)+1</f>
        <v>6446</v>
      </c>
      <c r="R8" s="150">
        <v>1692</v>
      </c>
      <c r="S8" s="150">
        <v>1743</v>
      </c>
      <c r="T8" s="150">
        <v>1773</v>
      </c>
      <c r="U8" s="150">
        <v>1793</v>
      </c>
      <c r="V8" s="105">
        <f>SUM(R8:U8)</f>
        <v>7001</v>
      </c>
      <c r="W8" s="150">
        <v>1819</v>
      </c>
      <c r="X8" s="150">
        <v>1884</v>
      </c>
      <c r="Y8" s="150">
        <v>1956</v>
      </c>
      <c r="Z8" s="150">
        <v>2028</v>
      </c>
      <c r="AA8" s="105">
        <f>SUM(W8:Z8)</f>
        <v>7687</v>
      </c>
      <c r="AB8" s="150">
        <v>2122</v>
      </c>
      <c r="AC8" s="150">
        <v>2140</v>
      </c>
      <c r="AD8" s="150">
        <v>2159</v>
      </c>
      <c r="AE8" s="150">
        <v>2133</v>
      </c>
      <c r="AF8" s="105">
        <f>SUM(AB8:AE8)-2</f>
        <v>8552</v>
      </c>
      <c r="AG8" s="150">
        <v>2071</v>
      </c>
      <c r="AH8" s="150">
        <v>2125</v>
      </c>
      <c r="AI8" s="150">
        <v>2275</v>
      </c>
      <c r="AJ8" s="150">
        <v>2357</v>
      </c>
      <c r="AK8" s="105">
        <f>SUM(AG8:AJ8)</f>
        <v>8828</v>
      </c>
      <c r="AL8" s="150">
        <v>2509</v>
      </c>
      <c r="AM8" s="150">
        <v>2675</v>
      </c>
      <c r="AN8" s="150">
        <v>2856</v>
      </c>
      <c r="AO8" s="150">
        <v>2955</v>
      </c>
      <c r="AP8" s="105">
        <f>SUM(AL8:AO8)+1</f>
        <v>10996</v>
      </c>
      <c r="AQ8" s="150">
        <v>3144</v>
      </c>
      <c r="AR8" s="150">
        <v>3170</v>
      </c>
      <c r="AS8" s="150">
        <v>3230</v>
      </c>
      <c r="AT8" s="150">
        <v>3164</v>
      </c>
      <c r="AU8" s="105">
        <f>SUM(AQ8:AT8)+1</f>
        <v>12709</v>
      </c>
      <c r="AV8" s="150">
        <v>3211</v>
      </c>
      <c r="AW8" s="150">
        <v>3271</v>
      </c>
      <c r="AX8" s="150">
        <v>3274</v>
      </c>
      <c r="AY8" s="150">
        <v>3219</v>
      </c>
      <c r="AZ8" s="105">
        <f>SUM(AV8:AY8)</f>
        <v>12975</v>
      </c>
      <c r="BA8" s="150">
        <v>3259</v>
      </c>
      <c r="BB8" s="150">
        <v>3400</v>
      </c>
      <c r="BC8" s="150">
        <v>3444</v>
      </c>
      <c r="BD8" s="150">
        <v>3302</v>
      </c>
      <c r="BE8" s="105">
        <f>SUM(BA8:BD8)</f>
        <v>13405</v>
      </c>
      <c r="BF8" s="150">
        <v>3416</v>
      </c>
      <c r="BG8" s="150">
        <v>3516</v>
      </c>
      <c r="BH8" s="150">
        <v>3660</v>
      </c>
      <c r="BI8" s="150">
        <v>3485</v>
      </c>
      <c r="BJ8" s="105">
        <f>SUM(BF8:BI8)+2</f>
        <v>14079</v>
      </c>
      <c r="BK8" s="150">
        <v>3482</v>
      </c>
      <c r="BL8" s="150">
        <v>3547</v>
      </c>
      <c r="BM8" s="150"/>
      <c r="BN8" s="150"/>
      <c r="BO8" s="105">
        <f>SUM(BK8:BN8)-1</f>
        <v>7028</v>
      </c>
    </row>
    <row r="9" spans="2:67" s="39" customFormat="1">
      <c r="B9" s="2" t="s">
        <v>74</v>
      </c>
      <c r="C9" s="93">
        <f>C6-C8</f>
        <v>789</v>
      </c>
      <c r="D9" s="93">
        <f>D6-D8</f>
        <v>848</v>
      </c>
      <c r="E9" s="93">
        <f>E6-E8</f>
        <v>858</v>
      </c>
      <c r="F9" s="93">
        <f>F6-F8</f>
        <v>842</v>
      </c>
      <c r="G9" s="24">
        <f>SUM(C9:F9)</f>
        <v>3337</v>
      </c>
      <c r="H9" s="93">
        <f>H6-H8</f>
        <v>822</v>
      </c>
      <c r="I9" s="93">
        <f>I6-I8</f>
        <v>904</v>
      </c>
      <c r="J9" s="93">
        <f>J6-J8</f>
        <v>895</v>
      </c>
      <c r="K9" s="93">
        <f>K6-K8</f>
        <v>930</v>
      </c>
      <c r="L9" s="24">
        <f>SUM(H9:K9)</f>
        <v>3551</v>
      </c>
      <c r="M9" s="93">
        <f>M6-M8</f>
        <v>909</v>
      </c>
      <c r="N9" s="93">
        <f>N6-N8</f>
        <v>949</v>
      </c>
      <c r="O9" s="93">
        <f>O6-O8</f>
        <v>950</v>
      </c>
      <c r="P9" s="93">
        <f>P6-P8</f>
        <v>955</v>
      </c>
      <c r="Q9" s="24">
        <f>SUM(M9:P9)-1</f>
        <v>3762</v>
      </c>
      <c r="R9" s="93">
        <f>R6-R8</f>
        <v>959</v>
      </c>
      <c r="S9" s="93">
        <f t="shared" ref="S9:Z9" si="0">S6-S8</f>
        <v>985</v>
      </c>
      <c r="T9" s="93">
        <f t="shared" si="0"/>
        <v>982</v>
      </c>
      <c r="U9" s="93">
        <f t="shared" si="0"/>
        <v>1012</v>
      </c>
      <c r="V9" s="24">
        <f>SUM(R9:U9)</f>
        <v>3938</v>
      </c>
      <c r="W9" s="93">
        <f t="shared" si="0"/>
        <v>1012</v>
      </c>
      <c r="X9" s="93">
        <f t="shared" si="0"/>
        <v>1037</v>
      </c>
      <c r="Y9" s="93">
        <f t="shared" si="0"/>
        <v>1031</v>
      </c>
      <c r="Z9" s="93">
        <f t="shared" si="0"/>
        <v>1032</v>
      </c>
      <c r="AA9" s="24">
        <f t="shared" ref="AA9:AT9" si="1">AA6-AA8</f>
        <v>4112</v>
      </c>
      <c r="AB9" s="93">
        <f t="shared" si="1"/>
        <v>1009</v>
      </c>
      <c r="AC9" s="93">
        <f t="shared" si="1"/>
        <v>1070</v>
      </c>
      <c r="AD9" s="93">
        <f t="shared" si="1"/>
        <v>1084</v>
      </c>
      <c r="AE9" s="93">
        <f t="shared" si="1"/>
        <v>1064</v>
      </c>
      <c r="AF9" s="24">
        <f t="shared" si="1"/>
        <v>4228</v>
      </c>
      <c r="AG9" s="93">
        <f t="shared" si="1"/>
        <v>1050</v>
      </c>
      <c r="AH9" s="93">
        <f t="shared" si="1"/>
        <v>1187</v>
      </c>
      <c r="AI9" s="93">
        <f t="shared" si="1"/>
        <v>1241</v>
      </c>
      <c r="AJ9" s="93">
        <f t="shared" si="1"/>
        <v>1256</v>
      </c>
      <c r="AK9" s="24">
        <f>AK6-AK8</f>
        <v>4733</v>
      </c>
      <c r="AL9" s="93">
        <f t="shared" si="1"/>
        <v>1273</v>
      </c>
      <c r="AM9" s="93">
        <f t="shared" si="1"/>
        <v>1323</v>
      </c>
      <c r="AN9" s="93">
        <f t="shared" si="1"/>
        <v>1394</v>
      </c>
      <c r="AO9" s="93">
        <f t="shared" si="1"/>
        <v>1325</v>
      </c>
      <c r="AP9" s="24">
        <f>AP6-AP8</f>
        <v>5315</v>
      </c>
      <c r="AQ9" s="93">
        <f t="shared" si="1"/>
        <v>1300</v>
      </c>
      <c r="AR9" s="93">
        <f t="shared" si="1"/>
        <v>1385</v>
      </c>
      <c r="AS9" s="93">
        <f t="shared" si="1"/>
        <v>1429</v>
      </c>
      <c r="AT9" s="93">
        <f t="shared" si="1"/>
        <v>1390</v>
      </c>
      <c r="AU9" s="24">
        <f t="shared" ref="AU9:BD9" si="2">AU6-AU8</f>
        <v>5503</v>
      </c>
      <c r="AV9" s="93">
        <f t="shared" si="2"/>
        <v>1406</v>
      </c>
      <c r="AW9" s="93">
        <f t="shared" si="2"/>
        <v>1447</v>
      </c>
      <c r="AX9" s="93">
        <f t="shared" si="2"/>
        <v>1389</v>
      </c>
      <c r="AY9" s="93">
        <f t="shared" si="2"/>
        <v>1345</v>
      </c>
      <c r="AZ9" s="24">
        <f t="shared" si="2"/>
        <v>5587</v>
      </c>
      <c r="BA9" s="93">
        <f t="shared" si="2"/>
        <v>1455</v>
      </c>
      <c r="BB9" s="93">
        <f t="shared" si="2"/>
        <v>1494</v>
      </c>
      <c r="BC9" s="93">
        <f t="shared" si="2"/>
        <v>1495</v>
      </c>
      <c r="BD9" s="93">
        <f t="shared" si="2"/>
        <v>1428</v>
      </c>
      <c r="BE9" s="24">
        <f t="shared" ref="BE9:BK9" si="3">BE6-BE8</f>
        <v>5872</v>
      </c>
      <c r="BF9" s="93">
        <f t="shared" si="3"/>
        <v>1525</v>
      </c>
      <c r="BG9" s="93">
        <f t="shared" si="3"/>
        <v>1560</v>
      </c>
      <c r="BH9" s="93">
        <f t="shared" si="3"/>
        <v>1439</v>
      </c>
      <c r="BI9" s="93">
        <f t="shared" si="3"/>
        <v>1555</v>
      </c>
      <c r="BJ9" s="24">
        <f t="shared" si="3"/>
        <v>6079</v>
      </c>
      <c r="BK9" s="302">
        <f t="shared" si="3"/>
        <v>1600</v>
      </c>
      <c r="BL9" s="23">
        <f>BL6-BL8</f>
        <v>1598</v>
      </c>
      <c r="BM9" s="23"/>
      <c r="BN9" s="23"/>
      <c r="BO9" s="24">
        <f>BO6-BO8</f>
        <v>3199</v>
      </c>
    </row>
    <row r="10" spans="2:67" s="39" customFormat="1">
      <c r="B10" s="2"/>
      <c r="C10" s="93"/>
      <c r="D10" s="93"/>
      <c r="E10" s="93"/>
      <c r="F10" s="93"/>
      <c r="G10" s="24"/>
      <c r="H10" s="93"/>
      <c r="I10" s="93"/>
      <c r="J10" s="93"/>
      <c r="K10" s="93"/>
      <c r="L10" s="24"/>
      <c r="M10" s="154"/>
      <c r="N10" s="154"/>
      <c r="O10" s="93"/>
      <c r="P10" s="93"/>
      <c r="Q10" s="28"/>
      <c r="R10" s="89"/>
      <c r="S10" s="109"/>
      <c r="T10" s="100"/>
      <c r="U10" s="100"/>
      <c r="V10" s="28"/>
      <c r="W10" s="109"/>
      <c r="X10" s="109"/>
      <c r="Y10" s="109"/>
      <c r="Z10" s="230"/>
      <c r="AA10" s="24"/>
      <c r="AB10" s="109"/>
      <c r="AC10" s="109"/>
      <c r="AD10" s="109"/>
      <c r="AE10" s="230"/>
      <c r="AF10" s="24"/>
      <c r="AG10" s="109"/>
      <c r="AH10" s="109"/>
      <c r="AI10" s="109"/>
      <c r="AJ10" s="230"/>
      <c r="AK10" s="6"/>
      <c r="AL10" s="109"/>
      <c r="AM10" s="109"/>
      <c r="AN10" s="109"/>
      <c r="AO10" s="230"/>
      <c r="AP10" s="6"/>
      <c r="AQ10" s="109"/>
      <c r="AR10" s="109"/>
      <c r="AS10" s="109"/>
      <c r="AT10" s="230"/>
      <c r="AU10" s="6"/>
      <c r="AV10" s="109"/>
      <c r="AW10" s="109"/>
      <c r="AX10" s="109"/>
      <c r="AY10" s="230"/>
      <c r="AZ10" s="6"/>
      <c r="BA10" s="109"/>
      <c r="BB10" s="109"/>
      <c r="BC10" s="109"/>
      <c r="BD10" s="230"/>
      <c r="BE10" s="6"/>
      <c r="BF10" s="109"/>
      <c r="BG10" s="109"/>
      <c r="BH10" s="109"/>
      <c r="BI10" s="230"/>
      <c r="BJ10" s="6"/>
      <c r="BK10" s="109"/>
      <c r="BL10" s="109"/>
      <c r="BM10" s="109"/>
      <c r="BN10" s="230"/>
      <c r="BO10" s="6"/>
    </row>
    <row r="11" spans="2:67">
      <c r="B11" s="3" t="s">
        <v>75</v>
      </c>
      <c r="C11" s="89">
        <v>111</v>
      </c>
      <c r="D11" s="89">
        <v>127</v>
      </c>
      <c r="E11" s="89">
        <v>124</v>
      </c>
      <c r="F11" s="90">
        <v>118</v>
      </c>
      <c r="G11" s="28">
        <f>SUM(C11:F11)</f>
        <v>480</v>
      </c>
      <c r="H11" s="89">
        <v>129</v>
      </c>
      <c r="I11" s="89">
        <v>129</v>
      </c>
      <c r="J11" s="89">
        <v>130</v>
      </c>
      <c r="K11" s="90">
        <v>134</v>
      </c>
      <c r="L11" s="28">
        <f>SUM(H11:K11)</f>
        <v>522</v>
      </c>
      <c r="M11" s="89">
        <v>137</v>
      </c>
      <c r="N11" s="89">
        <v>134</v>
      </c>
      <c r="O11" s="89">
        <v>131</v>
      </c>
      <c r="P11" s="90">
        <v>133</v>
      </c>
      <c r="Q11" s="28">
        <f>SUM(M11:P11)</f>
        <v>535</v>
      </c>
      <c r="R11" s="89">
        <v>138</v>
      </c>
      <c r="S11" s="89">
        <v>132</v>
      </c>
      <c r="T11" s="100">
        <v>136</v>
      </c>
      <c r="U11" s="100">
        <v>147</v>
      </c>
      <c r="V11" s="28">
        <f>SUM(R11:U11)-1</f>
        <v>552</v>
      </c>
      <c r="W11" s="89">
        <v>149</v>
      </c>
      <c r="X11" s="89">
        <v>154</v>
      </c>
      <c r="Y11" s="100">
        <v>161</v>
      </c>
      <c r="Z11" s="100">
        <v>174</v>
      </c>
      <c r="AA11" s="28">
        <f>SUM(W11:Z11)</f>
        <v>638</v>
      </c>
      <c r="AB11" s="89">
        <v>169</v>
      </c>
      <c r="AC11" s="89">
        <v>165</v>
      </c>
      <c r="AD11" s="89">
        <v>169</v>
      </c>
      <c r="AE11" s="100">
        <v>161</v>
      </c>
      <c r="AF11" s="28">
        <f>SUM(AB11:AE11)</f>
        <v>664</v>
      </c>
      <c r="AG11" s="89">
        <v>151</v>
      </c>
      <c r="AH11" s="89">
        <v>153</v>
      </c>
      <c r="AI11" s="89">
        <v>156</v>
      </c>
      <c r="AJ11" s="100">
        <v>165</v>
      </c>
      <c r="AK11" s="28">
        <f>SUM(AG11:AJ11)-1</f>
        <v>624</v>
      </c>
      <c r="AL11" s="89">
        <v>169</v>
      </c>
      <c r="AM11" s="89">
        <v>167</v>
      </c>
      <c r="AN11" s="89">
        <v>177</v>
      </c>
      <c r="AO11" s="100">
        <v>179</v>
      </c>
      <c r="AP11" s="28">
        <f>SUM(AL11:AO11)</f>
        <v>692</v>
      </c>
      <c r="AQ11" s="89">
        <v>193</v>
      </c>
      <c r="AR11" s="89">
        <v>185</v>
      </c>
      <c r="AS11" s="89">
        <v>196</v>
      </c>
      <c r="AT11" s="100">
        <v>202</v>
      </c>
      <c r="AU11" s="28">
        <f>SUM(AQ11:AT11)</f>
        <v>776</v>
      </c>
      <c r="AV11" s="89">
        <v>217</v>
      </c>
      <c r="AW11" s="89">
        <v>213</v>
      </c>
      <c r="AX11" s="89">
        <v>204</v>
      </c>
      <c r="AY11" s="100">
        <v>209</v>
      </c>
      <c r="AZ11" s="28">
        <f>SUM(AV11:AY11)-1</f>
        <v>842</v>
      </c>
      <c r="BA11" s="89">
        <v>232</v>
      </c>
      <c r="BB11" s="89">
        <v>221</v>
      </c>
      <c r="BC11" s="89">
        <v>218</v>
      </c>
      <c r="BD11" s="100">
        <v>226</v>
      </c>
      <c r="BE11" s="28">
        <f>SUM(BA11:BD11)+1</f>
        <v>898</v>
      </c>
      <c r="BF11" s="89">
        <v>258</v>
      </c>
      <c r="BG11" s="89">
        <v>254</v>
      </c>
      <c r="BH11" s="89">
        <v>257</v>
      </c>
      <c r="BI11" s="100">
        <v>256</v>
      </c>
      <c r="BJ11" s="28">
        <f>SUM(BF11:BI11)</f>
        <v>1025</v>
      </c>
      <c r="BK11" s="89">
        <v>270</v>
      </c>
      <c r="BL11" s="89">
        <v>260</v>
      </c>
      <c r="BM11" s="89"/>
      <c r="BN11" s="100"/>
      <c r="BO11" s="28">
        <f>SUM(BK11:BN11)+1</f>
        <v>531</v>
      </c>
    </row>
    <row r="12" spans="2:67" ht="13.5">
      <c r="B12" s="3" t="s">
        <v>497</v>
      </c>
      <c r="C12" s="150">
        <v>142</v>
      </c>
      <c r="D12" s="150">
        <v>146</v>
      </c>
      <c r="E12" s="150">
        <v>142</v>
      </c>
      <c r="F12" s="153">
        <v>169</v>
      </c>
      <c r="G12" s="105">
        <f>SUM(C12:F12)</f>
        <v>599</v>
      </c>
      <c r="H12" s="150">
        <v>152</v>
      </c>
      <c r="I12" s="150">
        <v>165</v>
      </c>
      <c r="J12" s="150">
        <v>166</v>
      </c>
      <c r="K12" s="153">
        <v>171</v>
      </c>
      <c r="L12" s="105">
        <f>SUM(H12:K12)</f>
        <v>654</v>
      </c>
      <c r="M12" s="150">
        <v>170</v>
      </c>
      <c r="N12" s="150">
        <v>171</v>
      </c>
      <c r="O12" s="150">
        <v>179</v>
      </c>
      <c r="P12" s="153">
        <v>188</v>
      </c>
      <c r="Q12" s="105">
        <f>SUM(M12:P12)-1</f>
        <v>707</v>
      </c>
      <c r="R12" s="150">
        <v>183</v>
      </c>
      <c r="S12" s="150">
        <v>194</v>
      </c>
      <c r="T12" s="290">
        <v>177</v>
      </c>
      <c r="U12" s="290">
        <v>172</v>
      </c>
      <c r="V12" s="105">
        <f>SUM(R12:U12)+1</f>
        <v>727</v>
      </c>
      <c r="W12" s="150">
        <v>193</v>
      </c>
      <c r="X12" s="150">
        <v>191</v>
      </c>
      <c r="Y12" s="290">
        <v>195</v>
      </c>
      <c r="Z12" s="290">
        <v>200</v>
      </c>
      <c r="AA12" s="105">
        <f>SUM(W12:Z12)-1</f>
        <v>778</v>
      </c>
      <c r="AB12" s="150">
        <v>198</v>
      </c>
      <c r="AC12" s="150">
        <v>209</v>
      </c>
      <c r="AD12" s="150">
        <v>204</v>
      </c>
      <c r="AE12" s="290">
        <v>229</v>
      </c>
      <c r="AF12" s="105">
        <f>SUM(AB12:AE12)</f>
        <v>840</v>
      </c>
      <c r="AG12" s="150">
        <v>191</v>
      </c>
      <c r="AH12" s="150">
        <v>194</v>
      </c>
      <c r="AI12" s="150">
        <v>192</v>
      </c>
      <c r="AJ12" s="290">
        <v>207</v>
      </c>
      <c r="AK12" s="105">
        <f>SUM(AG12:AJ12)</f>
        <v>784</v>
      </c>
      <c r="AL12" s="150">
        <v>208</v>
      </c>
      <c r="AM12" s="150">
        <v>215</v>
      </c>
      <c r="AN12" s="150">
        <v>219</v>
      </c>
      <c r="AO12" s="290">
        <v>226</v>
      </c>
      <c r="AP12" s="105">
        <f>SUM(AL12:AO12)</f>
        <v>868</v>
      </c>
      <c r="AQ12" s="150">
        <v>219</v>
      </c>
      <c r="AR12" s="150">
        <v>221</v>
      </c>
      <c r="AS12" s="150">
        <v>232</v>
      </c>
      <c r="AT12" s="290">
        <v>231</v>
      </c>
      <c r="AU12" s="105">
        <f>SUM(AQ12:AT12)-1</f>
        <v>902</v>
      </c>
      <c r="AV12" s="150">
        <v>228</v>
      </c>
      <c r="AW12" s="150">
        <v>234</v>
      </c>
      <c r="AX12" s="150">
        <v>229</v>
      </c>
      <c r="AY12" s="150">
        <v>219</v>
      </c>
      <c r="AZ12" s="105">
        <f>SUM(AV12:AY12)+1</f>
        <v>911</v>
      </c>
      <c r="BA12" s="150">
        <v>229</v>
      </c>
      <c r="BB12" s="150">
        <v>240</v>
      </c>
      <c r="BC12" s="150">
        <v>224</v>
      </c>
      <c r="BD12" s="150">
        <v>210</v>
      </c>
      <c r="BE12" s="105">
        <f>SUM(BA12:BD12)</f>
        <v>903</v>
      </c>
      <c r="BF12" s="150">
        <v>239</v>
      </c>
      <c r="BG12" s="150">
        <v>241</v>
      </c>
      <c r="BH12" s="150">
        <v>245</v>
      </c>
      <c r="BI12" s="150">
        <v>244</v>
      </c>
      <c r="BJ12" s="105">
        <f>SUM(BF12:BI12)</f>
        <v>969</v>
      </c>
      <c r="BK12" s="150">
        <v>258</v>
      </c>
      <c r="BL12" s="150">
        <v>259</v>
      </c>
      <c r="BM12" s="150"/>
      <c r="BN12" s="150"/>
      <c r="BO12" s="105">
        <f>SUM(BK12:BN12)</f>
        <v>517</v>
      </c>
    </row>
    <row r="13" spans="2:67" s="76" customFormat="1">
      <c r="B13" s="15" t="s">
        <v>77</v>
      </c>
      <c r="C13" s="110">
        <f t="shared" ref="C13:H13" si="4">SUM(C11:C12)</f>
        <v>253</v>
      </c>
      <c r="D13" s="110">
        <f t="shared" si="4"/>
        <v>273</v>
      </c>
      <c r="E13" s="110">
        <f t="shared" si="4"/>
        <v>266</v>
      </c>
      <c r="F13" s="110">
        <f t="shared" si="4"/>
        <v>287</v>
      </c>
      <c r="G13" s="56">
        <f>SUM(G11:G12)</f>
        <v>1079</v>
      </c>
      <c r="H13" s="110">
        <f t="shared" si="4"/>
        <v>281</v>
      </c>
      <c r="I13" s="110">
        <f t="shared" ref="I13:AB13" si="5">SUM(I11:I12)</f>
        <v>294</v>
      </c>
      <c r="J13" s="110">
        <f t="shared" si="5"/>
        <v>296</v>
      </c>
      <c r="K13" s="110">
        <f t="shared" si="5"/>
        <v>305</v>
      </c>
      <c r="L13" s="56">
        <f t="shared" si="5"/>
        <v>1176</v>
      </c>
      <c r="M13" s="110">
        <f t="shared" si="5"/>
        <v>307</v>
      </c>
      <c r="N13" s="110">
        <f t="shared" si="5"/>
        <v>305</v>
      </c>
      <c r="O13" s="110">
        <f t="shared" si="5"/>
        <v>310</v>
      </c>
      <c r="P13" s="110">
        <f t="shared" si="5"/>
        <v>321</v>
      </c>
      <c r="Q13" s="56">
        <f>SUM(Q11:Q12)</f>
        <v>1242</v>
      </c>
      <c r="R13" s="110">
        <f t="shared" si="5"/>
        <v>321</v>
      </c>
      <c r="S13" s="110">
        <f t="shared" si="5"/>
        <v>326</v>
      </c>
      <c r="T13" s="110">
        <f t="shared" si="5"/>
        <v>313</v>
      </c>
      <c r="U13" s="110">
        <f t="shared" si="5"/>
        <v>319</v>
      </c>
      <c r="V13" s="56">
        <f>SUM(V11:V12)</f>
        <v>1279</v>
      </c>
      <c r="W13" s="110">
        <f t="shared" si="5"/>
        <v>342</v>
      </c>
      <c r="X13" s="110">
        <f t="shared" si="5"/>
        <v>345</v>
      </c>
      <c r="Y13" s="110">
        <f t="shared" si="5"/>
        <v>356</v>
      </c>
      <c r="Z13" s="110">
        <f t="shared" si="5"/>
        <v>374</v>
      </c>
      <c r="AA13" s="56">
        <f>AA12+AA11</f>
        <v>1416</v>
      </c>
      <c r="AB13" s="110">
        <f t="shared" si="5"/>
        <v>367</v>
      </c>
      <c r="AC13" s="110">
        <f>SUM(AC11:AC12)</f>
        <v>374</v>
      </c>
      <c r="AD13" s="110">
        <f>SUM(AD11:AD12)</f>
        <v>373</v>
      </c>
      <c r="AE13" s="110">
        <f>SUM(AE11:AE12)</f>
        <v>390</v>
      </c>
      <c r="AF13" s="56">
        <f>AF12+AF11</f>
        <v>1504</v>
      </c>
      <c r="AG13" s="110">
        <f>SUM(AG11:AG12)</f>
        <v>342</v>
      </c>
      <c r="AH13" s="110">
        <f>SUM(AH11:AH12)</f>
        <v>347</v>
      </c>
      <c r="AI13" s="110">
        <f>SUM(AI11:AI12)</f>
        <v>348</v>
      </c>
      <c r="AJ13" s="110">
        <f>SUM(AJ11:AJ12)</f>
        <v>372</v>
      </c>
      <c r="AK13" s="56">
        <f>AK12+AK11</f>
        <v>1408</v>
      </c>
      <c r="AL13" s="110">
        <f>SUM(AL11:AL12)</f>
        <v>377</v>
      </c>
      <c r="AM13" s="110">
        <f>SUM(AM11:AM12)</f>
        <v>382</v>
      </c>
      <c r="AN13" s="110">
        <f>SUM(AN11:AN12)</f>
        <v>396</v>
      </c>
      <c r="AO13" s="110">
        <f>SUM(AO11:AO12)</f>
        <v>405</v>
      </c>
      <c r="AP13" s="56">
        <f>AP12+AP11</f>
        <v>1560</v>
      </c>
      <c r="AQ13" s="110">
        <f>SUM(AQ11:AQ12)</f>
        <v>412</v>
      </c>
      <c r="AR13" s="110">
        <f>SUM(AR11:AR12)</f>
        <v>406</v>
      </c>
      <c r="AS13" s="110">
        <f>SUM(AS11:AS12)</f>
        <v>428</v>
      </c>
      <c r="AT13" s="110">
        <f>SUM(AT11:AT12)</f>
        <v>433</v>
      </c>
      <c r="AU13" s="56">
        <f>AU12+AU11</f>
        <v>1678</v>
      </c>
      <c r="AV13" s="110">
        <f>AV11+AV12</f>
        <v>445</v>
      </c>
      <c r="AW13" s="110">
        <f>AW11+AW12</f>
        <v>447</v>
      </c>
      <c r="AX13" s="110">
        <f>AX11+AX12</f>
        <v>433</v>
      </c>
      <c r="AY13" s="110">
        <f>AY11+AY12</f>
        <v>428</v>
      </c>
      <c r="AZ13" s="56">
        <f>AZ12+AZ11</f>
        <v>1753</v>
      </c>
      <c r="BA13" s="110">
        <f>BA11+BA12</f>
        <v>461</v>
      </c>
      <c r="BB13" s="110">
        <f>BB11+BB12</f>
        <v>461</v>
      </c>
      <c r="BC13" s="110">
        <f>BC11+BC12</f>
        <v>442</v>
      </c>
      <c r="BD13" s="110">
        <f>BD11+BD12</f>
        <v>436</v>
      </c>
      <c r="BE13" s="56">
        <f>BE12+BE11</f>
        <v>1801</v>
      </c>
      <c r="BF13" s="110">
        <f>BF11+BF12</f>
        <v>497</v>
      </c>
      <c r="BG13" s="110">
        <f>BG11+BG12</f>
        <v>495</v>
      </c>
      <c r="BH13" s="110">
        <f>BH11+BH12</f>
        <v>502</v>
      </c>
      <c r="BI13" s="110">
        <f>BI11+BI12</f>
        <v>500</v>
      </c>
      <c r="BJ13" s="56">
        <f>BJ12+BJ11</f>
        <v>1994</v>
      </c>
      <c r="BK13" s="110">
        <f>BK11+BK12</f>
        <v>528</v>
      </c>
      <c r="BL13" s="110">
        <f>BL11+BL12</f>
        <v>519</v>
      </c>
      <c r="BM13" s="110"/>
      <c r="BN13" s="110"/>
      <c r="BO13" s="56">
        <f>BO11+BO12</f>
        <v>1048</v>
      </c>
    </row>
    <row r="14" spans="2:67" s="76" customFormat="1">
      <c r="B14" s="15"/>
      <c r="C14" s="110"/>
      <c r="D14" s="110"/>
      <c r="E14" s="110"/>
      <c r="F14" s="110"/>
      <c r="G14" s="56"/>
      <c r="H14" s="110"/>
      <c r="I14" s="110"/>
      <c r="J14" s="110"/>
      <c r="K14" s="110"/>
      <c r="L14" s="56"/>
      <c r="M14" s="110"/>
      <c r="N14" s="110"/>
      <c r="O14" s="110"/>
      <c r="P14" s="110"/>
      <c r="Q14" s="56"/>
      <c r="T14" s="231"/>
      <c r="U14" s="231"/>
      <c r="V14" s="56"/>
      <c r="Y14" s="231"/>
      <c r="Z14" s="231"/>
      <c r="AA14" s="56"/>
      <c r="AE14" s="231"/>
      <c r="AF14" s="56"/>
      <c r="AJ14" s="231"/>
      <c r="AK14" s="56"/>
      <c r="AO14" s="231"/>
      <c r="AP14" s="56"/>
      <c r="AT14" s="231"/>
      <c r="AU14" s="56"/>
      <c r="AY14" s="231"/>
      <c r="AZ14" s="56"/>
      <c r="BD14" s="231"/>
      <c r="BE14" s="56"/>
      <c r="BI14" s="231"/>
      <c r="BJ14" s="56"/>
      <c r="BN14" s="231"/>
      <c r="BO14" s="56"/>
    </row>
    <row r="15" spans="2:67" s="39" customFormat="1">
      <c r="B15" s="2" t="s">
        <v>226</v>
      </c>
      <c r="C15" s="93">
        <f>C9-C13</f>
        <v>536</v>
      </c>
      <c r="D15" s="93">
        <f>D9-D13</f>
        <v>575</v>
      </c>
      <c r="E15" s="93">
        <f>E9-E13</f>
        <v>592</v>
      </c>
      <c r="F15" s="93">
        <f>F9-F13</f>
        <v>555</v>
      </c>
      <c r="G15" s="24">
        <f>SUM(C15:F15)</f>
        <v>2258</v>
      </c>
      <c r="H15" s="93">
        <f>H9-H13</f>
        <v>541</v>
      </c>
      <c r="I15" s="93">
        <f>I9-I13</f>
        <v>610</v>
      </c>
      <c r="J15" s="93">
        <f>J9-J13</f>
        <v>599</v>
      </c>
      <c r="K15" s="93">
        <f>K9-K13</f>
        <v>625</v>
      </c>
      <c r="L15" s="24">
        <f>SUM(H15:K15)</f>
        <v>2375</v>
      </c>
      <c r="M15" s="93">
        <f>M9-M13</f>
        <v>602</v>
      </c>
      <c r="N15" s="93">
        <f>N9-N13</f>
        <v>644</v>
      </c>
      <c r="O15" s="93">
        <f>O9-O13</f>
        <v>640</v>
      </c>
      <c r="P15" s="93">
        <f>P9-P13</f>
        <v>634</v>
      </c>
      <c r="Q15" s="24">
        <f>SUM(M15:P15)</f>
        <v>2520</v>
      </c>
      <c r="R15" s="93">
        <f>R9-R13</f>
        <v>638</v>
      </c>
      <c r="S15" s="93">
        <f>S9-S13</f>
        <v>659</v>
      </c>
      <c r="T15" s="93">
        <f>T9-T13</f>
        <v>669</v>
      </c>
      <c r="U15" s="93">
        <f>U9-U13</f>
        <v>693</v>
      </c>
      <c r="V15" s="24">
        <f>SUM(R15:U15)</f>
        <v>2659</v>
      </c>
      <c r="W15" s="93">
        <f t="shared" ref="W15:AB15" si="6">W9-W13</f>
        <v>670</v>
      </c>
      <c r="X15" s="93">
        <f t="shared" si="6"/>
        <v>692</v>
      </c>
      <c r="Y15" s="93">
        <f t="shared" si="6"/>
        <v>675</v>
      </c>
      <c r="Z15" s="93">
        <f t="shared" si="6"/>
        <v>658</v>
      </c>
      <c r="AA15" s="24">
        <f t="shared" si="6"/>
        <v>2696</v>
      </c>
      <c r="AB15" s="93">
        <f t="shared" si="6"/>
        <v>642</v>
      </c>
      <c r="AC15" s="93">
        <f t="shared" ref="AC15:AJ15" si="7">AC9-AC13</f>
        <v>696</v>
      </c>
      <c r="AD15" s="93">
        <f t="shared" si="7"/>
        <v>711</v>
      </c>
      <c r="AE15" s="93">
        <f t="shared" si="7"/>
        <v>674</v>
      </c>
      <c r="AF15" s="24">
        <f t="shared" si="7"/>
        <v>2724</v>
      </c>
      <c r="AG15" s="93">
        <f t="shared" si="7"/>
        <v>708</v>
      </c>
      <c r="AH15" s="93">
        <f t="shared" si="7"/>
        <v>840</v>
      </c>
      <c r="AI15" s="93">
        <f t="shared" si="7"/>
        <v>893</v>
      </c>
      <c r="AJ15" s="93">
        <f t="shared" si="7"/>
        <v>884</v>
      </c>
      <c r="AK15" s="24">
        <f t="shared" ref="AK15:AQ15" si="8">AK9-AK13</f>
        <v>3325</v>
      </c>
      <c r="AL15" s="93">
        <f t="shared" si="8"/>
        <v>896</v>
      </c>
      <c r="AM15" s="93">
        <f t="shared" si="8"/>
        <v>941</v>
      </c>
      <c r="AN15" s="93">
        <f t="shared" si="8"/>
        <v>998</v>
      </c>
      <c r="AO15" s="93">
        <f t="shared" si="8"/>
        <v>920</v>
      </c>
      <c r="AP15" s="24">
        <f t="shared" si="8"/>
        <v>3755</v>
      </c>
      <c r="AQ15" s="93">
        <f t="shared" si="8"/>
        <v>888</v>
      </c>
      <c r="AR15" s="93">
        <f t="shared" ref="AR15:AW15" si="9">AR9-AR13</f>
        <v>979</v>
      </c>
      <c r="AS15" s="93">
        <f t="shared" si="9"/>
        <v>1001</v>
      </c>
      <c r="AT15" s="93">
        <f t="shared" si="9"/>
        <v>957</v>
      </c>
      <c r="AU15" s="24">
        <f t="shared" si="9"/>
        <v>3825</v>
      </c>
      <c r="AV15" s="93">
        <f t="shared" si="9"/>
        <v>961</v>
      </c>
      <c r="AW15" s="93">
        <f t="shared" si="9"/>
        <v>1000</v>
      </c>
      <c r="AX15" s="93">
        <f t="shared" ref="AX15:BD15" si="10">AX9-AX13</f>
        <v>956</v>
      </c>
      <c r="AY15" s="93">
        <f t="shared" si="10"/>
        <v>917</v>
      </c>
      <c r="AZ15" s="24">
        <f t="shared" si="10"/>
        <v>3834</v>
      </c>
      <c r="BA15" s="93">
        <f t="shared" si="10"/>
        <v>994</v>
      </c>
      <c r="BB15" s="93">
        <f t="shared" si="10"/>
        <v>1033</v>
      </c>
      <c r="BC15" s="93">
        <f t="shared" si="10"/>
        <v>1053</v>
      </c>
      <c r="BD15" s="93">
        <f t="shared" si="10"/>
        <v>992</v>
      </c>
      <c r="BE15" s="24">
        <f t="shared" ref="BE15:BJ15" si="11">BE9-BE13</f>
        <v>4071</v>
      </c>
      <c r="BF15" s="93">
        <f t="shared" si="11"/>
        <v>1028</v>
      </c>
      <c r="BG15" s="93">
        <f t="shared" si="11"/>
        <v>1065</v>
      </c>
      <c r="BH15" s="93">
        <f t="shared" si="11"/>
        <v>937</v>
      </c>
      <c r="BI15" s="93">
        <f t="shared" si="11"/>
        <v>1055</v>
      </c>
      <c r="BJ15" s="24">
        <f t="shared" si="11"/>
        <v>4085</v>
      </c>
      <c r="BK15" s="93">
        <f>BK9-BK13</f>
        <v>1072</v>
      </c>
      <c r="BL15" s="93">
        <f>BL9-BL13</f>
        <v>1079</v>
      </c>
      <c r="BM15" s="93"/>
      <c r="BN15" s="93"/>
      <c r="BO15" s="24">
        <f>BO9-BO13</f>
        <v>2151</v>
      </c>
    </row>
    <row r="16" spans="2:67">
      <c r="B16" s="138" t="s">
        <v>79</v>
      </c>
      <c r="C16" s="89"/>
      <c r="D16" s="89"/>
      <c r="E16" s="89"/>
      <c r="F16" s="89"/>
      <c r="G16" s="28"/>
      <c r="H16" s="89"/>
      <c r="I16" s="89"/>
      <c r="J16" s="89"/>
      <c r="K16" s="89"/>
      <c r="L16" s="28"/>
      <c r="M16" s="89"/>
      <c r="N16" s="89"/>
      <c r="O16" s="89"/>
      <c r="P16" s="89"/>
      <c r="Q16" s="28"/>
      <c r="R16" s="89"/>
      <c r="S16" s="89"/>
      <c r="T16" s="89"/>
      <c r="U16" s="89"/>
      <c r="V16" s="28"/>
      <c r="W16" s="89"/>
      <c r="X16" s="89"/>
      <c r="Y16" s="89"/>
      <c r="Z16" s="89"/>
      <c r="AA16" s="28"/>
      <c r="AB16" s="89"/>
      <c r="AC16" s="89"/>
      <c r="AD16" s="89"/>
      <c r="AE16" s="89"/>
      <c r="AF16" s="28"/>
      <c r="AG16" s="89"/>
      <c r="AH16" s="89"/>
      <c r="AI16" s="89"/>
      <c r="AJ16" s="89"/>
      <c r="AK16" s="28"/>
      <c r="AL16" s="89"/>
      <c r="AM16" s="89"/>
      <c r="AN16" s="89"/>
      <c r="AO16" s="89"/>
      <c r="AP16" s="28"/>
      <c r="AQ16" s="89"/>
      <c r="AR16" s="89"/>
      <c r="AS16" s="89"/>
      <c r="AT16" s="89"/>
      <c r="AU16" s="28"/>
      <c r="AV16" s="89"/>
      <c r="AW16" s="89"/>
      <c r="AX16" s="89"/>
      <c r="AY16" s="89"/>
      <c r="AZ16" s="28"/>
      <c r="BA16" s="89"/>
      <c r="BB16" s="89"/>
      <c r="BC16" s="89"/>
      <c r="BD16" s="89"/>
      <c r="BE16" s="28"/>
      <c r="BF16" s="89"/>
      <c r="BG16" s="89"/>
      <c r="BH16" s="89">
        <v>143</v>
      </c>
      <c r="BI16" s="89"/>
      <c r="BJ16" s="28">
        <f>SUM(BF16:BI16)</f>
        <v>143</v>
      </c>
      <c r="BK16" s="89">
        <v>0</v>
      </c>
      <c r="BL16" s="89">
        <v>0</v>
      </c>
      <c r="BM16" s="89"/>
      <c r="BN16" s="89"/>
      <c r="BO16" s="28">
        <f>SUM(BK16:BN16)</f>
        <v>0</v>
      </c>
    </row>
    <row r="17" spans="2:67" s="39" customFormat="1">
      <c r="B17" s="140" t="s">
        <v>80</v>
      </c>
      <c r="C17" s="93"/>
      <c r="D17" s="93"/>
      <c r="E17" s="93"/>
      <c r="F17" s="93"/>
      <c r="G17" s="24"/>
      <c r="H17" s="93"/>
      <c r="I17" s="93"/>
      <c r="J17" s="93"/>
      <c r="K17" s="93"/>
      <c r="L17" s="24"/>
      <c r="M17" s="93"/>
      <c r="N17" s="93"/>
      <c r="O17" s="93"/>
      <c r="P17" s="93"/>
      <c r="Q17" s="24"/>
      <c r="R17" s="93"/>
      <c r="S17" s="93"/>
      <c r="T17" s="93"/>
      <c r="U17" s="93"/>
      <c r="V17" s="24"/>
      <c r="W17" s="93"/>
      <c r="X17" s="93"/>
      <c r="Y17" s="93"/>
      <c r="Z17" s="93"/>
      <c r="AA17" s="24"/>
      <c r="AB17" s="93"/>
      <c r="AC17" s="93"/>
      <c r="AD17" s="93"/>
      <c r="AE17" s="93"/>
      <c r="AF17" s="24"/>
      <c r="AG17" s="93"/>
      <c r="AH17" s="93"/>
      <c r="AI17" s="93"/>
      <c r="AJ17" s="93"/>
      <c r="AK17" s="24"/>
      <c r="AL17" s="93"/>
      <c r="AM17" s="93"/>
      <c r="AN17" s="93"/>
      <c r="AO17" s="93"/>
      <c r="AP17" s="24"/>
      <c r="AQ17" s="93"/>
      <c r="AR17" s="93"/>
      <c r="AS17" s="93"/>
      <c r="AT17" s="93"/>
      <c r="AU17" s="24"/>
      <c r="AV17" s="93"/>
      <c r="AW17" s="93"/>
      <c r="AX17" s="93"/>
      <c r="AY17" s="93"/>
      <c r="AZ17" s="24"/>
      <c r="BA17" s="93"/>
      <c r="BB17" s="93"/>
      <c r="BC17" s="93"/>
      <c r="BD17" s="93"/>
      <c r="BE17" s="24"/>
      <c r="BF17" s="93"/>
      <c r="BG17" s="93"/>
      <c r="BH17" s="93">
        <f>BH15+BH16</f>
        <v>1080</v>
      </c>
      <c r="BI17" s="93"/>
      <c r="BJ17" s="24">
        <f>BJ15+BJ16</f>
        <v>4228</v>
      </c>
      <c r="BK17" s="93">
        <v>0</v>
      </c>
      <c r="BL17" s="93">
        <v>0</v>
      </c>
      <c r="BM17" s="93"/>
      <c r="BN17" s="93"/>
      <c r="BO17" s="24">
        <f>SUM(BK17:BN17)</f>
        <v>0</v>
      </c>
    </row>
    <row r="18" spans="2:67" s="39" customFormat="1">
      <c r="B18" s="2"/>
      <c r="C18" s="93"/>
      <c r="D18" s="93"/>
      <c r="E18" s="93"/>
      <c r="F18" s="93"/>
      <c r="G18" s="24"/>
      <c r="H18" s="93"/>
      <c r="I18" s="93"/>
      <c r="J18" s="93"/>
      <c r="K18" s="93"/>
      <c r="L18" s="24"/>
      <c r="M18" s="93"/>
      <c r="N18" s="93"/>
      <c r="O18" s="93"/>
      <c r="P18" s="93"/>
      <c r="Q18" s="24"/>
      <c r="R18" s="93"/>
      <c r="S18" s="93"/>
      <c r="T18" s="93"/>
      <c r="U18" s="93"/>
      <c r="V18" s="24"/>
      <c r="W18" s="93"/>
      <c r="X18" s="93"/>
      <c r="Y18" s="93"/>
      <c r="Z18" s="93"/>
      <c r="AA18" s="24"/>
      <c r="AB18" s="93"/>
      <c r="AC18" s="93"/>
      <c r="AD18" s="93"/>
      <c r="AE18" s="93"/>
      <c r="AF18" s="24"/>
      <c r="AG18" s="93"/>
      <c r="AH18" s="93"/>
      <c r="AI18" s="93"/>
      <c r="AJ18" s="93"/>
      <c r="AK18" s="24"/>
      <c r="AL18" s="93"/>
      <c r="AM18" s="93"/>
      <c r="AN18" s="93"/>
      <c r="AO18" s="93"/>
      <c r="AP18" s="24"/>
      <c r="AQ18" s="93"/>
      <c r="AR18" s="93"/>
      <c r="AS18" s="93"/>
      <c r="AT18" s="93"/>
      <c r="AU18" s="24"/>
      <c r="AV18" s="93"/>
      <c r="AW18" s="93"/>
      <c r="AX18" s="93"/>
      <c r="AY18" s="93"/>
      <c r="AZ18" s="24"/>
      <c r="BA18" s="93"/>
      <c r="BB18" s="93"/>
      <c r="BC18" s="93"/>
      <c r="BD18" s="93"/>
      <c r="BE18" s="24"/>
      <c r="BF18" s="93"/>
      <c r="BG18" s="93"/>
      <c r="BH18" s="93"/>
      <c r="BI18" s="93"/>
      <c r="BJ18" s="24"/>
      <c r="BK18" s="93"/>
      <c r="BL18" s="93"/>
      <c r="BM18" s="93"/>
      <c r="BN18" s="93"/>
      <c r="BO18" s="24"/>
    </row>
    <row r="19" spans="2:67" s="208" customFormat="1">
      <c r="B19" s="202" t="s">
        <v>81</v>
      </c>
      <c r="C19" s="13">
        <f t="shared" ref="C19:AL19" si="12">C15/C6</f>
        <v>0.25128926394749179</v>
      </c>
      <c r="D19" s="13">
        <f t="shared" si="12"/>
        <v>0.2612448886869605</v>
      </c>
      <c r="E19" s="13">
        <f t="shared" si="12"/>
        <v>0.26690712353471596</v>
      </c>
      <c r="F19" s="13">
        <f t="shared" si="12"/>
        <v>0.25706345530338121</v>
      </c>
      <c r="G19" s="14">
        <f t="shared" si="12"/>
        <v>0.259212489955229</v>
      </c>
      <c r="H19" s="13">
        <f t="shared" si="12"/>
        <v>0.2398049645390071</v>
      </c>
      <c r="I19" s="13">
        <f t="shared" si="12"/>
        <v>0.25501672240802675</v>
      </c>
      <c r="J19" s="13">
        <f t="shared" si="12"/>
        <v>0.24885749896136269</v>
      </c>
      <c r="K19" s="13">
        <f t="shared" si="12"/>
        <v>0.25551921504497138</v>
      </c>
      <c r="L19" s="14">
        <f t="shared" si="12"/>
        <v>0.24997368698031786</v>
      </c>
      <c r="M19" s="13">
        <f t="shared" si="12"/>
        <v>0.24070371851259495</v>
      </c>
      <c r="N19" s="13">
        <f t="shared" si="12"/>
        <v>0.24893699265558561</v>
      </c>
      <c r="O19" s="13">
        <f t="shared" si="12"/>
        <v>0.25088200705605646</v>
      </c>
      <c r="P19" s="13">
        <f t="shared" si="12"/>
        <v>0.24678863370961462</v>
      </c>
      <c r="Q19" s="14">
        <f t="shared" si="12"/>
        <v>0.2468652037617555</v>
      </c>
      <c r="R19" s="13">
        <f t="shared" si="12"/>
        <v>0.24066390041493776</v>
      </c>
      <c r="S19" s="13">
        <f t="shared" si="12"/>
        <v>0.24156891495601174</v>
      </c>
      <c r="T19" s="13">
        <f t="shared" si="12"/>
        <v>0.24283121597096188</v>
      </c>
      <c r="U19" s="13">
        <f t="shared" si="12"/>
        <v>0.24705882352941178</v>
      </c>
      <c r="V19" s="14">
        <f t="shared" si="12"/>
        <v>0.2430752353962885</v>
      </c>
      <c r="W19" s="13">
        <f t="shared" si="12"/>
        <v>0.23666548922642175</v>
      </c>
      <c r="X19" s="13">
        <f t="shared" si="12"/>
        <v>0.23690516946251283</v>
      </c>
      <c r="Y19" s="13">
        <f t="shared" si="12"/>
        <v>0.22597924338801473</v>
      </c>
      <c r="Z19" s="13">
        <f t="shared" si="12"/>
        <v>0.2150326797385621</v>
      </c>
      <c r="AA19" s="14">
        <f t="shared" si="12"/>
        <v>0.22849394016442071</v>
      </c>
      <c r="AB19" s="13">
        <f t="shared" si="12"/>
        <v>0.20504631108272117</v>
      </c>
      <c r="AC19" s="13">
        <f t="shared" si="12"/>
        <v>0.21682242990654205</v>
      </c>
      <c r="AD19" s="13">
        <f t="shared" si="12"/>
        <v>0.21924144310823312</v>
      </c>
      <c r="AE19" s="13">
        <f t="shared" si="12"/>
        <v>0.2108226462308414</v>
      </c>
      <c r="AF19" s="14">
        <f t="shared" si="12"/>
        <v>0.2131455399061033</v>
      </c>
      <c r="AG19" s="13">
        <f t="shared" si="12"/>
        <v>0.22685036847164369</v>
      </c>
      <c r="AH19" s="13">
        <f t="shared" si="12"/>
        <v>0.25362318840579712</v>
      </c>
      <c r="AI19" s="13">
        <f t="shared" si="12"/>
        <v>0.25398179749715588</v>
      </c>
      <c r="AJ19" s="13">
        <f t="shared" si="12"/>
        <v>0.24467201771381122</v>
      </c>
      <c r="AK19" s="14">
        <f t="shared" si="12"/>
        <v>0.2451884079345181</v>
      </c>
      <c r="AL19" s="13">
        <f t="shared" si="12"/>
        <v>0.23691168693812797</v>
      </c>
      <c r="AM19" s="13">
        <v>0.23599999999999999</v>
      </c>
      <c r="AN19" s="13">
        <f t="shared" ref="AN19:BG19" si="13">AN15/AN6</f>
        <v>0.23482352941176471</v>
      </c>
      <c r="AO19" s="13">
        <f t="shared" si="13"/>
        <v>0.21495327102803738</v>
      </c>
      <c r="AP19" s="14">
        <f t="shared" si="13"/>
        <v>0.2302127398688002</v>
      </c>
      <c r="AQ19" s="13">
        <f t="shared" si="13"/>
        <v>0.19981998199819981</v>
      </c>
      <c r="AR19" s="13">
        <f t="shared" si="13"/>
        <v>0.21492864983534576</v>
      </c>
      <c r="AS19" s="13">
        <f t="shared" si="13"/>
        <v>0.21485297274093154</v>
      </c>
      <c r="AT19" s="13">
        <f t="shared" si="13"/>
        <v>0.21014492753623187</v>
      </c>
      <c r="AU19" s="14">
        <f t="shared" si="13"/>
        <v>0.21002635624862728</v>
      </c>
      <c r="AV19" s="13">
        <f t="shared" si="13"/>
        <v>0.20814381633095083</v>
      </c>
      <c r="AW19" s="13">
        <f t="shared" si="13"/>
        <v>0.21195421788893598</v>
      </c>
      <c r="AX19" s="13">
        <f t="shared" si="13"/>
        <v>0.20501822860819216</v>
      </c>
      <c r="AY19" s="13">
        <f t="shared" si="13"/>
        <v>0.20092024539877301</v>
      </c>
      <c r="AZ19" s="14">
        <f t="shared" si="13"/>
        <v>0.20655101820924468</v>
      </c>
      <c r="BA19" s="13">
        <f t="shared" si="13"/>
        <v>0.21086126431904964</v>
      </c>
      <c r="BB19" s="13">
        <f t="shared" si="13"/>
        <v>0.21107478545157335</v>
      </c>
      <c r="BC19" s="13">
        <f t="shared" si="13"/>
        <v>0.21320105284470542</v>
      </c>
      <c r="BD19" s="13">
        <f t="shared" si="13"/>
        <v>0.20972515856236787</v>
      </c>
      <c r="BE19" s="14">
        <f t="shared" si="13"/>
        <v>0.21118431291176012</v>
      </c>
      <c r="BF19" s="13">
        <f t="shared" si="13"/>
        <v>0.20805504958510423</v>
      </c>
      <c r="BG19" s="13">
        <f t="shared" si="13"/>
        <v>0.20981087470449172</v>
      </c>
      <c r="BH19" s="13">
        <f>BH15/BH6</f>
        <v>0.18376152186703276</v>
      </c>
      <c r="BI19" s="13">
        <f>BI15/BI6</f>
        <v>0.20932539682539683</v>
      </c>
      <c r="BJ19" s="14">
        <f>BJ15/BJ6</f>
        <v>0.20264907232860402</v>
      </c>
      <c r="BK19" s="13">
        <f>BK15/BK6</f>
        <v>0.21094057457693821</v>
      </c>
      <c r="BL19" s="13">
        <f>BL15/BL6</f>
        <v>0.20971817298347911</v>
      </c>
      <c r="BM19" s="13"/>
      <c r="BN19" s="13"/>
      <c r="BO19" s="14">
        <f>BO15/BO6</f>
        <v>0.21032560868289821</v>
      </c>
    </row>
    <row r="20" spans="2:67" s="208" customFormat="1">
      <c r="B20" s="202" t="s">
        <v>82</v>
      </c>
      <c r="C20" s="13"/>
      <c r="D20" s="13"/>
      <c r="E20" s="13"/>
      <c r="F20" s="13"/>
      <c r="G20" s="14"/>
      <c r="H20" s="13"/>
      <c r="I20" s="13"/>
      <c r="J20" s="13"/>
      <c r="K20" s="13"/>
      <c r="L20" s="14"/>
      <c r="M20" s="13"/>
      <c r="N20" s="13"/>
      <c r="O20" s="13"/>
      <c r="P20" s="13"/>
      <c r="Q20" s="14"/>
      <c r="R20" s="13"/>
      <c r="S20" s="13"/>
      <c r="T20" s="13"/>
      <c r="U20" s="13"/>
      <c r="V20" s="14"/>
      <c r="W20" s="13"/>
      <c r="X20" s="13"/>
      <c r="Y20" s="13"/>
      <c r="Z20" s="13"/>
      <c r="AA20" s="14"/>
      <c r="AB20" s="13"/>
      <c r="AC20" s="13"/>
      <c r="AD20" s="13"/>
      <c r="AE20" s="13"/>
      <c r="AF20" s="14"/>
      <c r="AG20" s="13"/>
      <c r="AH20" s="13"/>
      <c r="AI20" s="13"/>
      <c r="AJ20" s="13"/>
      <c r="AK20" s="14"/>
      <c r="AL20" s="13"/>
      <c r="AM20" s="13"/>
      <c r="AN20" s="13"/>
      <c r="AO20" s="13"/>
      <c r="AP20" s="14"/>
      <c r="AQ20" s="13"/>
      <c r="AR20" s="13"/>
      <c r="AS20" s="13"/>
      <c r="AT20" s="13"/>
      <c r="AU20" s="14"/>
      <c r="AV20" s="13"/>
      <c r="AW20" s="13"/>
      <c r="AX20" s="13"/>
      <c r="AY20" s="13"/>
      <c r="AZ20" s="14"/>
      <c r="BA20" s="13"/>
      <c r="BB20" s="13"/>
      <c r="BC20" s="13"/>
      <c r="BD20" s="13"/>
      <c r="BE20" s="14"/>
      <c r="BF20" s="13"/>
      <c r="BG20" s="13"/>
      <c r="BH20" s="13">
        <f>BH17/BH6</f>
        <v>0.21180623651696412</v>
      </c>
      <c r="BI20" s="13"/>
      <c r="BJ20" s="14">
        <f>BJ17/BJ6</f>
        <v>0.20974303006250619</v>
      </c>
      <c r="BK20" s="13"/>
      <c r="BL20" s="13"/>
      <c r="BM20" s="13"/>
      <c r="BN20" s="13"/>
      <c r="BO20" s="14"/>
    </row>
    <row r="21" spans="2:67" s="208" customFormat="1">
      <c r="B21" s="202"/>
      <c r="C21" s="13"/>
      <c r="D21" s="13"/>
      <c r="E21" s="13"/>
      <c r="F21" s="13"/>
      <c r="G21" s="14"/>
      <c r="H21" s="13"/>
      <c r="I21" s="13"/>
      <c r="J21" s="13"/>
      <c r="K21" s="13"/>
      <c r="L21" s="14"/>
      <c r="M21" s="13"/>
      <c r="N21" s="13"/>
      <c r="O21" s="13"/>
      <c r="P21" s="13"/>
      <c r="Q21" s="14"/>
      <c r="T21" s="232"/>
      <c r="U21" s="232"/>
      <c r="V21" s="14"/>
      <c r="W21" s="256"/>
      <c r="Y21" s="232"/>
      <c r="Z21" s="232"/>
      <c r="AA21" s="14"/>
      <c r="AB21" s="256"/>
      <c r="AC21" s="256"/>
      <c r="AD21" s="256"/>
      <c r="AE21" s="256"/>
      <c r="AF21" s="14"/>
      <c r="AG21" s="256"/>
      <c r="AH21" s="256"/>
      <c r="AI21" s="256"/>
      <c r="AJ21" s="256"/>
      <c r="AK21" s="14"/>
      <c r="AL21" s="256"/>
      <c r="AM21" s="256"/>
      <c r="AN21" s="256"/>
      <c r="AO21" s="256"/>
      <c r="AP21" s="14"/>
      <c r="AQ21" s="256"/>
      <c r="AR21" s="256"/>
      <c r="AS21" s="256"/>
      <c r="AT21" s="232"/>
      <c r="AU21" s="14"/>
      <c r="AV21" s="256"/>
      <c r="AW21" s="256"/>
      <c r="AX21" s="256"/>
      <c r="AY21" s="232"/>
      <c r="AZ21" s="14"/>
      <c r="BA21" s="256"/>
      <c r="BB21" s="256"/>
      <c r="BC21" s="256"/>
      <c r="BD21" s="232"/>
      <c r="BE21" s="14"/>
      <c r="BF21" s="256"/>
      <c r="BG21" s="256"/>
      <c r="BH21" s="256"/>
      <c r="BI21" s="232"/>
      <c r="BJ21" s="14"/>
      <c r="BK21" s="256"/>
      <c r="BL21" s="256"/>
      <c r="BM21" s="256"/>
      <c r="BN21" s="232"/>
      <c r="BO21" s="14"/>
    </row>
    <row r="22" spans="2:67" s="335" customFormat="1" hidden="1">
      <c r="B22" s="355" t="s">
        <v>227</v>
      </c>
      <c r="C22" s="333">
        <v>23</v>
      </c>
      <c r="D22" s="333">
        <v>24</v>
      </c>
      <c r="E22" s="333">
        <v>17</v>
      </c>
      <c r="F22" s="356">
        <v>21</v>
      </c>
      <c r="G22" s="28">
        <f>SUM(C22:F22)</f>
        <v>85</v>
      </c>
      <c r="H22" s="333">
        <v>8</v>
      </c>
      <c r="I22" s="333">
        <v>19</v>
      </c>
      <c r="J22" s="333">
        <v>19</v>
      </c>
      <c r="K22" s="356">
        <v>18</v>
      </c>
      <c r="L22" s="28">
        <f>SUM(H22:K22)+1</f>
        <v>65</v>
      </c>
      <c r="M22" s="333">
        <v>12</v>
      </c>
      <c r="N22" s="333">
        <v>15</v>
      </c>
      <c r="O22" s="333">
        <v>25</v>
      </c>
      <c r="P22" s="356">
        <v>17</v>
      </c>
      <c r="Q22" s="28">
        <f>SUM(M22:P22)</f>
        <v>69</v>
      </c>
      <c r="R22" s="333">
        <v>29</v>
      </c>
      <c r="S22" s="333">
        <v>43</v>
      </c>
      <c r="T22" s="357">
        <v>56</v>
      </c>
      <c r="U22" s="357">
        <v>20</v>
      </c>
      <c r="V22" s="28">
        <f>SUM(R22:U22)</f>
        <v>148</v>
      </c>
      <c r="W22" s="333">
        <v>26</v>
      </c>
      <c r="X22" s="333">
        <v>28</v>
      </c>
      <c r="Y22" s="357">
        <v>27</v>
      </c>
      <c r="Z22" s="357">
        <v>14</v>
      </c>
      <c r="AA22" s="28">
        <f>SUM(W22:Z22)</f>
        <v>95</v>
      </c>
      <c r="AB22" s="333"/>
      <c r="AC22" s="333"/>
      <c r="AD22" s="333"/>
      <c r="AE22" s="357"/>
      <c r="AF22" s="28">
        <f t="shared" ref="AF22:AF28" si="14">SUM(AB22:AE22)</f>
        <v>0</v>
      </c>
      <c r="AG22" s="333"/>
      <c r="AH22" s="333"/>
      <c r="AI22" s="333"/>
      <c r="AJ22" s="357"/>
      <c r="AK22" s="28"/>
      <c r="AL22" s="333"/>
      <c r="AM22" s="333"/>
      <c r="AN22" s="333"/>
      <c r="AO22" s="357"/>
      <c r="AP22" s="28"/>
      <c r="AQ22" s="333"/>
      <c r="AR22" s="333"/>
      <c r="AS22" s="333"/>
      <c r="AT22" s="357"/>
      <c r="AU22" s="28"/>
      <c r="AV22" s="333"/>
      <c r="AW22" s="333"/>
      <c r="AX22" s="333"/>
      <c r="AY22" s="357"/>
      <c r="AZ22" s="28"/>
      <c r="BA22" s="333"/>
      <c r="BB22" s="333"/>
      <c r="BC22" s="333"/>
      <c r="BD22" s="357"/>
      <c r="BE22" s="28"/>
      <c r="BF22" s="333"/>
      <c r="BG22" s="333"/>
      <c r="BH22" s="333"/>
      <c r="BI22" s="357"/>
      <c r="BJ22" s="28"/>
      <c r="BK22" s="333"/>
      <c r="BL22" s="333"/>
      <c r="BM22" s="333"/>
      <c r="BN22" s="357"/>
      <c r="BO22" s="28"/>
    </row>
    <row r="23" spans="2:67" s="335" customFormat="1" hidden="1">
      <c r="B23" s="355" t="s">
        <v>228</v>
      </c>
      <c r="C23" s="333">
        <v>116</v>
      </c>
      <c r="D23" s="333">
        <v>120</v>
      </c>
      <c r="E23" s="333">
        <v>119</v>
      </c>
      <c r="F23" s="356">
        <v>120</v>
      </c>
      <c r="G23" s="28">
        <f>SUM(C23:F23)</f>
        <v>475</v>
      </c>
      <c r="H23" s="333">
        <v>111</v>
      </c>
      <c r="I23" s="333">
        <v>102</v>
      </c>
      <c r="J23" s="333">
        <v>102</v>
      </c>
      <c r="K23" s="356">
        <v>96</v>
      </c>
      <c r="L23" s="28">
        <f>SUM(H23:K23)</f>
        <v>411</v>
      </c>
      <c r="M23" s="333">
        <v>100</v>
      </c>
      <c r="N23" s="333">
        <v>98</v>
      </c>
      <c r="O23" s="333">
        <v>96</v>
      </c>
      <c r="P23" s="356">
        <v>91</v>
      </c>
      <c r="Q23" s="28">
        <f>SUM(M23:P23)</f>
        <v>385</v>
      </c>
      <c r="R23" s="333">
        <v>98</v>
      </c>
      <c r="S23" s="333">
        <v>94</v>
      </c>
      <c r="T23" s="357">
        <v>93</v>
      </c>
      <c r="U23" s="357">
        <f>80</f>
        <v>80</v>
      </c>
      <c r="V23" s="28">
        <f>SUM(R23:U23)</f>
        <v>365</v>
      </c>
      <c r="W23" s="333">
        <v>81</v>
      </c>
      <c r="X23" s="333">
        <v>77</v>
      </c>
      <c r="Y23" s="357">
        <v>78</v>
      </c>
      <c r="Z23" s="357">
        <v>80</v>
      </c>
      <c r="AA23" s="28">
        <f>SUM(W23:Z23)</f>
        <v>316</v>
      </c>
      <c r="AB23" s="333"/>
      <c r="AC23" s="333"/>
      <c r="AD23" s="333"/>
      <c r="AE23" s="357"/>
      <c r="AF23" s="28">
        <f t="shared" si="14"/>
        <v>0</v>
      </c>
      <c r="AG23" s="333"/>
      <c r="AH23" s="333"/>
      <c r="AI23" s="333"/>
      <c r="AJ23" s="357"/>
      <c r="AK23" s="28"/>
      <c r="AL23" s="333"/>
      <c r="AM23" s="333"/>
      <c r="AN23" s="333"/>
      <c r="AO23" s="357"/>
      <c r="AP23" s="28"/>
      <c r="AQ23" s="333"/>
      <c r="AR23" s="333"/>
      <c r="AS23" s="333"/>
      <c r="AT23" s="357"/>
      <c r="AU23" s="28"/>
      <c r="AV23" s="333"/>
      <c r="AW23" s="333"/>
      <c r="AX23" s="333"/>
      <c r="AY23" s="357"/>
      <c r="AZ23" s="28"/>
      <c r="BA23" s="333"/>
      <c r="BB23" s="333"/>
      <c r="BC23" s="333"/>
      <c r="BD23" s="357"/>
      <c r="BE23" s="28"/>
      <c r="BF23" s="333"/>
      <c r="BG23" s="333"/>
      <c r="BH23" s="333"/>
      <c r="BI23" s="357"/>
      <c r="BJ23" s="28"/>
      <c r="BK23" s="333"/>
      <c r="BL23" s="333"/>
      <c r="BM23" s="333"/>
      <c r="BN23" s="357"/>
      <c r="BO23" s="28"/>
    </row>
    <row r="24" spans="2:67" s="335" customFormat="1">
      <c r="B24" s="355" t="s">
        <v>227</v>
      </c>
      <c r="C24" s="333">
        <v>139</v>
      </c>
      <c r="D24" s="333">
        <v>144</v>
      </c>
      <c r="E24" s="333">
        <v>136</v>
      </c>
      <c r="F24" s="333">
        <v>141</v>
      </c>
      <c r="G24" s="28">
        <f>SUM(C24:F24)</f>
        <v>560</v>
      </c>
      <c r="H24" s="333">
        <v>119</v>
      </c>
      <c r="I24" s="333">
        <v>121</v>
      </c>
      <c r="J24" s="333">
        <v>121</v>
      </c>
      <c r="K24" s="333">
        <v>114</v>
      </c>
      <c r="L24" s="28">
        <f>SUM(H24:K24)+1</f>
        <v>476</v>
      </c>
      <c r="M24" s="333">
        <v>112</v>
      </c>
      <c r="N24" s="333">
        <v>113</v>
      </c>
      <c r="O24" s="333">
        <v>121</v>
      </c>
      <c r="P24" s="333">
        <v>108</v>
      </c>
      <c r="Q24" s="28">
        <f>SUM(M24:P24)</f>
        <v>454</v>
      </c>
      <c r="R24" s="333">
        <v>127</v>
      </c>
      <c r="S24" s="333">
        <v>137</v>
      </c>
      <c r="T24" s="357">
        <v>149</v>
      </c>
      <c r="U24" s="357">
        <v>100</v>
      </c>
      <c r="V24" s="28">
        <f>SUM(R24:U24)</f>
        <v>513</v>
      </c>
      <c r="W24" s="333">
        <v>107</v>
      </c>
      <c r="X24" s="333">
        <v>105</v>
      </c>
      <c r="Y24" s="357">
        <v>105</v>
      </c>
      <c r="Z24" s="357">
        <v>94</v>
      </c>
      <c r="AA24" s="28">
        <f>SUM(W24:Z24)</f>
        <v>411</v>
      </c>
      <c r="AB24" s="333">
        <v>106</v>
      </c>
      <c r="AC24" s="333">
        <v>89</v>
      </c>
      <c r="AD24" s="333">
        <v>116</v>
      </c>
      <c r="AE24" s="357">
        <v>84</v>
      </c>
      <c r="AF24" s="28">
        <f>SUM(AB24:AE24)</f>
        <v>395</v>
      </c>
      <c r="AG24" s="333">
        <v>63</v>
      </c>
      <c r="AH24" s="333">
        <v>76</v>
      </c>
      <c r="AI24" s="333">
        <v>83</v>
      </c>
      <c r="AJ24" s="357">
        <v>75</v>
      </c>
      <c r="AK24" s="28">
        <f>SUM(AG24:AJ24)</f>
        <v>297</v>
      </c>
      <c r="AL24" s="333">
        <v>84</v>
      </c>
      <c r="AM24" s="333">
        <v>71</v>
      </c>
      <c r="AN24" s="333">
        <v>68</v>
      </c>
      <c r="AO24" s="357">
        <v>84</v>
      </c>
      <c r="AP24" s="28">
        <f>SUM(AL24:AO24)+1</f>
        <v>308</v>
      </c>
      <c r="AQ24" s="333">
        <v>87</v>
      </c>
      <c r="AR24" s="333">
        <v>73</v>
      </c>
      <c r="AS24" s="333">
        <v>94</v>
      </c>
      <c r="AT24" s="357">
        <v>82</v>
      </c>
      <c r="AU24" s="28">
        <f>SUM(AQ24:AT24)-1</f>
        <v>335</v>
      </c>
      <c r="AV24" s="333">
        <v>68</v>
      </c>
      <c r="AW24" s="333">
        <v>77</v>
      </c>
      <c r="AX24" s="333">
        <v>95</v>
      </c>
      <c r="AY24" s="357">
        <v>328</v>
      </c>
      <c r="AZ24" s="28">
        <f>SUM(AV24:AY24)</f>
        <v>568</v>
      </c>
      <c r="BA24" s="333">
        <v>101</v>
      </c>
      <c r="BB24" s="333">
        <v>85</v>
      </c>
      <c r="BC24" s="333">
        <v>102</v>
      </c>
      <c r="BD24" s="357">
        <v>137</v>
      </c>
      <c r="BE24" s="28">
        <f>SUM(BA24:BD24)</f>
        <v>425</v>
      </c>
      <c r="BF24" s="333">
        <v>122</v>
      </c>
      <c r="BG24" s="333">
        <v>112</v>
      </c>
      <c r="BH24" s="333">
        <v>109</v>
      </c>
      <c r="BI24" s="357">
        <v>125</v>
      </c>
      <c r="BJ24" s="28">
        <f>SUM(BF24:BI24)</f>
        <v>468</v>
      </c>
      <c r="BK24" s="333">
        <v>104</v>
      </c>
      <c r="BL24" s="333">
        <v>89</v>
      </c>
      <c r="BM24" s="333"/>
      <c r="BN24" s="357"/>
      <c r="BO24" s="28">
        <f t="shared" ref="BO24:BO31" si="15">SUM(BK24:BN24)</f>
        <v>193</v>
      </c>
    </row>
    <row r="25" spans="2:67">
      <c r="B25" s="3" t="s">
        <v>84</v>
      </c>
      <c r="C25" s="89"/>
      <c r="D25" s="89"/>
      <c r="E25" s="89"/>
      <c r="F25" s="89"/>
      <c r="G25" s="28"/>
      <c r="H25" s="89"/>
      <c r="I25" s="89"/>
      <c r="J25" s="89"/>
      <c r="K25" s="89"/>
      <c r="L25" s="28"/>
      <c r="M25" s="89"/>
      <c r="N25" s="89"/>
      <c r="O25" s="89"/>
      <c r="P25" s="19"/>
      <c r="Q25" s="28"/>
      <c r="R25" s="19"/>
      <c r="S25" s="19"/>
      <c r="T25" s="17"/>
      <c r="U25" s="17"/>
      <c r="V25" s="28"/>
      <c r="W25" s="19"/>
      <c r="X25" s="19"/>
      <c r="Y25" s="17"/>
      <c r="Z25" s="17"/>
      <c r="AA25" s="28"/>
      <c r="AB25" s="19">
        <v>-6</v>
      </c>
      <c r="AC25" s="19">
        <v>-6</v>
      </c>
      <c r="AD25" s="19">
        <v>-6</v>
      </c>
      <c r="AE25" s="17">
        <v>-6</v>
      </c>
      <c r="AF25" s="28">
        <f>SUM(AB25:AE25)</f>
        <v>-24</v>
      </c>
      <c r="AG25" s="19">
        <v>-6</v>
      </c>
      <c r="AH25" s="19">
        <v>-6</v>
      </c>
      <c r="AI25" s="19">
        <v>-6</v>
      </c>
      <c r="AJ25" s="17">
        <v>-7</v>
      </c>
      <c r="AK25" s="28">
        <f>SUM(AG25:AJ25)-1</f>
        <v>-26</v>
      </c>
      <c r="AL25" s="19">
        <v>-7</v>
      </c>
      <c r="AM25" s="19">
        <v>-6</v>
      </c>
      <c r="AN25" s="19">
        <v>-7</v>
      </c>
      <c r="AO25" s="17">
        <v>-6</v>
      </c>
      <c r="AP25" s="28">
        <f>SUM(AL25:AO25)-1</f>
        <v>-27</v>
      </c>
      <c r="AQ25" s="19">
        <v>-7</v>
      </c>
      <c r="AR25" s="19">
        <v>-8</v>
      </c>
      <c r="AS25" s="19">
        <v>-10</v>
      </c>
      <c r="AT25" s="17">
        <v>-10</v>
      </c>
      <c r="AU25" s="28">
        <f>SUM(AQ25:AT25)</f>
        <v>-35</v>
      </c>
      <c r="AV25" s="19">
        <v>-11</v>
      </c>
      <c r="AW25" s="333">
        <v>-17</v>
      </c>
      <c r="AX25" s="19">
        <v>-16</v>
      </c>
      <c r="AY25" s="17">
        <v>-13</v>
      </c>
      <c r="AZ25" s="28">
        <f>SUM(AV25:AY25)+1</f>
        <v>-56</v>
      </c>
      <c r="BA25" s="19">
        <v>-13</v>
      </c>
      <c r="BB25" s="333">
        <v>-13</v>
      </c>
      <c r="BC25" s="19">
        <v>-12</v>
      </c>
      <c r="BD25" s="17">
        <v>-12</v>
      </c>
      <c r="BE25" s="28">
        <f>SUM(BA25:BD25)+1</f>
        <v>-49</v>
      </c>
      <c r="BF25" s="19">
        <v>-12</v>
      </c>
      <c r="BG25" s="19">
        <v>-12</v>
      </c>
      <c r="BH25" s="19">
        <v>-11</v>
      </c>
      <c r="BI25" s="17">
        <v>-12</v>
      </c>
      <c r="BJ25" s="28">
        <f>SUM(BF25:BI25)</f>
        <v>-47</v>
      </c>
      <c r="BK25" s="19">
        <v>-13</v>
      </c>
      <c r="BL25" s="19">
        <v>-12</v>
      </c>
      <c r="BM25" s="19"/>
      <c r="BN25" s="17"/>
      <c r="BO25" s="28">
        <f t="shared" si="15"/>
        <v>-25</v>
      </c>
    </row>
    <row r="26" spans="2:67">
      <c r="B26" s="3" t="s">
        <v>229</v>
      </c>
      <c r="C26" s="89"/>
      <c r="D26" s="89"/>
      <c r="E26" s="89"/>
      <c r="F26" s="89"/>
      <c r="G26" s="28"/>
      <c r="H26" s="89"/>
      <c r="I26" s="89"/>
      <c r="J26" s="89"/>
      <c r="K26" s="89"/>
      <c r="L26" s="28"/>
      <c r="M26" s="89"/>
      <c r="N26" s="89"/>
      <c r="O26" s="89"/>
      <c r="P26" s="19"/>
      <c r="Q26" s="28"/>
      <c r="R26" s="19">
        <v>0</v>
      </c>
      <c r="S26" s="19">
        <v>0</v>
      </c>
      <c r="T26" s="17">
        <v>0</v>
      </c>
      <c r="U26" s="17">
        <v>-18</v>
      </c>
      <c r="V26" s="28">
        <f>SUM(R26:U26)</f>
        <v>-18</v>
      </c>
      <c r="W26" s="19">
        <v>-39</v>
      </c>
      <c r="X26" s="19">
        <v>0</v>
      </c>
      <c r="Y26" s="17">
        <v>0</v>
      </c>
      <c r="Z26" s="17">
        <v>0</v>
      </c>
      <c r="AA26" s="28">
        <f>SUM(W26:Z26)</f>
        <v>-39</v>
      </c>
      <c r="AB26" s="19">
        <v>0</v>
      </c>
      <c r="AC26" s="19">
        <v>0</v>
      </c>
      <c r="AD26" s="19">
        <v>0</v>
      </c>
      <c r="AE26" s="17">
        <v>0</v>
      </c>
      <c r="AF26" s="28">
        <f t="shared" si="14"/>
        <v>0</v>
      </c>
      <c r="AG26" s="17">
        <v>0</v>
      </c>
      <c r="AH26" s="19">
        <v>0</v>
      </c>
      <c r="AI26" s="19">
        <v>0</v>
      </c>
      <c r="AJ26" s="19">
        <v>0</v>
      </c>
      <c r="AK26" s="28">
        <f>SUM(AG26:AJ26)</f>
        <v>0</v>
      </c>
      <c r="AL26" s="17">
        <v>0</v>
      </c>
      <c r="AM26" s="19">
        <v>0</v>
      </c>
      <c r="AN26" s="19">
        <v>0</v>
      </c>
      <c r="AO26" s="19">
        <v>0</v>
      </c>
      <c r="AP26" s="28">
        <f>SUM(AL26:AO26)</f>
        <v>0</v>
      </c>
      <c r="AQ26" s="17">
        <v>0</v>
      </c>
      <c r="AR26" s="17">
        <v>0</v>
      </c>
      <c r="AS26" s="17">
        <v>0</v>
      </c>
      <c r="AT26" s="17">
        <v>0</v>
      </c>
      <c r="AU26" s="28">
        <f>SUM(AQ26:AT26)</f>
        <v>0</v>
      </c>
      <c r="AV26" s="17">
        <v>0</v>
      </c>
      <c r="AW26" s="17">
        <v>0</v>
      </c>
      <c r="AX26" s="17">
        <v>0</v>
      </c>
      <c r="AY26" s="17">
        <v>0</v>
      </c>
      <c r="AZ26" s="28">
        <f>SUM(AV26:AY26)</f>
        <v>0</v>
      </c>
      <c r="BA26" s="17">
        <v>0</v>
      </c>
      <c r="BB26" s="17">
        <v>0</v>
      </c>
      <c r="BC26" s="17">
        <v>0</v>
      </c>
      <c r="BD26" s="17">
        <v>0</v>
      </c>
      <c r="BE26" s="28">
        <f>SUM(BA26:BD26)</f>
        <v>0</v>
      </c>
      <c r="BF26" s="17">
        <v>0</v>
      </c>
      <c r="BG26" s="17">
        <v>0</v>
      </c>
      <c r="BH26" s="17">
        <v>0</v>
      </c>
      <c r="BI26" s="17">
        <v>0</v>
      </c>
      <c r="BJ26" s="28">
        <f>SUM(BF26:BI26)</f>
        <v>0</v>
      </c>
      <c r="BK26" s="17">
        <v>0</v>
      </c>
      <c r="BL26" s="17">
        <v>0</v>
      </c>
      <c r="BM26" s="17"/>
      <c r="BN26" s="17"/>
      <c r="BO26" s="28">
        <f t="shared" si="15"/>
        <v>0</v>
      </c>
    </row>
    <row r="27" spans="2:67">
      <c r="B27" s="138" t="s">
        <v>230</v>
      </c>
      <c r="C27" s="89"/>
      <c r="D27" s="89"/>
      <c r="E27" s="89"/>
      <c r="F27" s="89"/>
      <c r="G27" s="28"/>
      <c r="H27" s="89"/>
      <c r="I27" s="89"/>
      <c r="J27" s="89"/>
      <c r="K27" s="89"/>
      <c r="L27" s="28"/>
      <c r="M27" s="89"/>
      <c r="N27" s="89"/>
      <c r="O27" s="89"/>
      <c r="P27" s="19"/>
      <c r="Q27" s="28"/>
      <c r="R27" s="19"/>
      <c r="S27" s="19"/>
      <c r="T27" s="17"/>
      <c r="U27" s="17"/>
      <c r="V27" s="28"/>
      <c r="W27" s="19"/>
      <c r="X27" s="19"/>
      <c r="Y27" s="17">
        <v>-65</v>
      </c>
      <c r="Z27" s="17">
        <v>0</v>
      </c>
      <c r="AA27" s="28">
        <f>SUM(W27:Z27)</f>
        <v>-65</v>
      </c>
      <c r="AB27" s="19">
        <v>0</v>
      </c>
      <c r="AC27" s="19">
        <v>0</v>
      </c>
      <c r="AD27" s="19">
        <v>0</v>
      </c>
      <c r="AE27" s="17">
        <v>0</v>
      </c>
      <c r="AF27" s="28">
        <f t="shared" si="14"/>
        <v>0</v>
      </c>
      <c r="AG27" s="17">
        <v>0</v>
      </c>
      <c r="AH27" s="19">
        <v>0</v>
      </c>
      <c r="AI27" s="19">
        <v>0</v>
      </c>
      <c r="AJ27" s="19">
        <v>0</v>
      </c>
      <c r="AK27" s="28">
        <f>SUM(AG27:AJ27)</f>
        <v>0</v>
      </c>
      <c r="AL27" s="17">
        <v>0</v>
      </c>
      <c r="AM27" s="19">
        <v>0</v>
      </c>
      <c r="AN27" s="19">
        <v>0</v>
      </c>
      <c r="AO27" s="19">
        <v>0</v>
      </c>
      <c r="AP27" s="28">
        <f>SUM(AL27:AO27)</f>
        <v>0</v>
      </c>
      <c r="AQ27" s="17">
        <v>0</v>
      </c>
      <c r="AR27" s="17">
        <v>0</v>
      </c>
      <c r="AS27" s="17">
        <v>0</v>
      </c>
      <c r="AT27" s="17">
        <v>0</v>
      </c>
      <c r="AU27" s="28">
        <f>SUM(AQ27:AT27)</f>
        <v>0</v>
      </c>
      <c r="AV27" s="17">
        <v>0</v>
      </c>
      <c r="AW27" s="17">
        <v>0</v>
      </c>
      <c r="AX27" s="17">
        <v>0</v>
      </c>
      <c r="AY27" s="17">
        <v>0</v>
      </c>
      <c r="AZ27" s="28">
        <f>SUM(AV27:AY27)</f>
        <v>0</v>
      </c>
      <c r="BA27" s="17">
        <v>0</v>
      </c>
      <c r="BB27" s="17">
        <v>0</v>
      </c>
      <c r="BC27" s="17">
        <v>0</v>
      </c>
      <c r="BD27" s="17">
        <v>0</v>
      </c>
      <c r="BE27" s="28">
        <f>SUM(BA27:BD27)</f>
        <v>0</v>
      </c>
      <c r="BF27" s="17">
        <v>0</v>
      </c>
      <c r="BG27" s="17">
        <v>0</v>
      </c>
      <c r="BH27" s="17">
        <v>0</v>
      </c>
      <c r="BI27" s="17">
        <v>0</v>
      </c>
      <c r="BJ27" s="28">
        <f>SUM(BF27:BI27)</f>
        <v>0</v>
      </c>
      <c r="BK27" s="17">
        <v>0</v>
      </c>
      <c r="BL27" s="17">
        <v>0</v>
      </c>
      <c r="BM27" s="17"/>
      <c r="BN27" s="17"/>
      <c r="BO27" s="28">
        <f t="shared" si="15"/>
        <v>0</v>
      </c>
    </row>
    <row r="28" spans="2:67">
      <c r="B28" s="138" t="s">
        <v>231</v>
      </c>
      <c r="C28" s="89"/>
      <c r="D28" s="89"/>
      <c r="E28" s="89"/>
      <c r="F28" s="89"/>
      <c r="G28" s="28"/>
      <c r="H28" s="89"/>
      <c r="I28" s="89"/>
      <c r="J28" s="89"/>
      <c r="K28" s="89"/>
      <c r="L28" s="28"/>
      <c r="M28" s="89"/>
      <c r="N28" s="89"/>
      <c r="O28" s="89"/>
      <c r="P28" s="19"/>
      <c r="Q28" s="28"/>
      <c r="R28" s="89">
        <v>-11</v>
      </c>
      <c r="S28" s="89">
        <v>0</v>
      </c>
      <c r="T28" s="17">
        <v>0</v>
      </c>
      <c r="U28" s="17">
        <v>0</v>
      </c>
      <c r="V28" s="28">
        <f>SUM(R28:U28)</f>
        <v>-11</v>
      </c>
      <c r="W28" s="19">
        <v>0</v>
      </c>
      <c r="X28" s="89">
        <v>0</v>
      </c>
      <c r="Y28" s="17">
        <v>0</v>
      </c>
      <c r="Z28" s="17">
        <v>0</v>
      </c>
      <c r="AA28" s="28">
        <f>SUM(W28:Z28)</f>
        <v>0</v>
      </c>
      <c r="AB28" s="19">
        <v>0</v>
      </c>
      <c r="AC28" s="19">
        <v>0</v>
      </c>
      <c r="AD28" s="19">
        <v>0</v>
      </c>
      <c r="AE28" s="17">
        <v>0</v>
      </c>
      <c r="AF28" s="28">
        <f t="shared" si="14"/>
        <v>0</v>
      </c>
      <c r="AG28" s="17">
        <v>0</v>
      </c>
      <c r="AH28" s="19">
        <v>0</v>
      </c>
      <c r="AI28" s="19">
        <v>0</v>
      </c>
      <c r="AJ28" s="19">
        <v>0</v>
      </c>
      <c r="AK28" s="28">
        <f>SUM(AG28:AJ28)</f>
        <v>0</v>
      </c>
      <c r="AL28" s="17">
        <v>0</v>
      </c>
      <c r="AM28" s="19">
        <v>0</v>
      </c>
      <c r="AN28" s="19">
        <v>0</v>
      </c>
      <c r="AO28" s="19">
        <v>0</v>
      </c>
      <c r="AP28" s="28">
        <f>SUM(AL28:AO28)</f>
        <v>0</v>
      </c>
      <c r="AQ28" s="17">
        <v>0</v>
      </c>
      <c r="AR28" s="17">
        <v>0</v>
      </c>
      <c r="AS28" s="17">
        <v>0</v>
      </c>
      <c r="AT28" s="17">
        <v>0</v>
      </c>
      <c r="AU28" s="28">
        <f>SUM(AQ28:AT28)</f>
        <v>0</v>
      </c>
      <c r="AV28" s="17">
        <v>0</v>
      </c>
      <c r="AW28" s="17">
        <v>0</v>
      </c>
      <c r="AX28" s="17">
        <v>0</v>
      </c>
      <c r="AY28" s="17">
        <v>0</v>
      </c>
      <c r="AZ28" s="28">
        <f>SUM(AV28:AY28)</f>
        <v>0</v>
      </c>
      <c r="BA28" s="17">
        <v>0</v>
      </c>
      <c r="BB28" s="17">
        <v>0</v>
      </c>
      <c r="BC28" s="17">
        <v>0</v>
      </c>
      <c r="BD28" s="17">
        <v>0</v>
      </c>
      <c r="BE28" s="28">
        <f>SUM(BA28:BD28)</f>
        <v>0</v>
      </c>
      <c r="BF28" s="17">
        <v>0</v>
      </c>
      <c r="BG28" s="17">
        <v>0</v>
      </c>
      <c r="BH28" s="17">
        <v>0</v>
      </c>
      <c r="BI28" s="17">
        <v>0</v>
      </c>
      <c r="BJ28" s="28">
        <f>SUM(BF28:BI28)</f>
        <v>0</v>
      </c>
      <c r="BK28" s="17">
        <v>0</v>
      </c>
      <c r="BL28" s="17">
        <v>0</v>
      </c>
      <c r="BM28" s="17"/>
      <c r="BN28" s="17"/>
      <c r="BO28" s="28">
        <f t="shared" si="15"/>
        <v>0</v>
      </c>
    </row>
    <row r="29" spans="2:67">
      <c r="B29" s="138"/>
      <c r="C29" s="89"/>
      <c r="D29" s="89"/>
      <c r="E29" s="89"/>
      <c r="F29" s="89"/>
      <c r="G29" s="28"/>
      <c r="H29" s="89"/>
      <c r="I29" s="89"/>
      <c r="J29" s="89"/>
      <c r="K29" s="89"/>
      <c r="L29" s="28"/>
      <c r="M29" s="89"/>
      <c r="N29" s="89"/>
      <c r="O29" s="89"/>
      <c r="P29" s="19"/>
      <c r="Q29" s="28"/>
      <c r="R29" s="89"/>
      <c r="S29" s="89"/>
      <c r="T29" s="17"/>
      <c r="U29" s="17"/>
      <c r="V29" s="28"/>
      <c r="W29" s="19"/>
      <c r="X29" s="89"/>
      <c r="Y29" s="17"/>
      <c r="Z29" s="17"/>
      <c r="AA29" s="28"/>
      <c r="AB29" s="19"/>
      <c r="AC29" s="19"/>
      <c r="AD29" s="19"/>
      <c r="AE29" s="17"/>
      <c r="AF29" s="28"/>
      <c r="AG29" s="17"/>
      <c r="AH29" s="19"/>
      <c r="AI29" s="19"/>
      <c r="AJ29" s="17"/>
      <c r="AK29" s="28"/>
      <c r="AL29" s="17"/>
      <c r="AM29" s="19"/>
      <c r="AN29" s="19"/>
      <c r="AO29" s="17"/>
      <c r="AP29" s="28"/>
      <c r="AQ29" s="17"/>
      <c r="AR29" s="17"/>
      <c r="AS29" s="19"/>
      <c r="AT29" s="17"/>
      <c r="AU29" s="28"/>
      <c r="AV29" s="17"/>
      <c r="AW29" s="17"/>
      <c r="AX29" s="19"/>
      <c r="AY29" s="17"/>
      <c r="AZ29" s="28"/>
      <c r="BA29" s="17"/>
      <c r="BB29" s="17"/>
      <c r="BC29" s="17"/>
      <c r="BD29" s="17"/>
      <c r="BE29" s="28"/>
      <c r="BF29" s="17"/>
      <c r="BG29" s="17"/>
      <c r="BH29" s="17"/>
      <c r="BI29" s="17"/>
      <c r="BJ29" s="28"/>
      <c r="BK29" s="17"/>
      <c r="BL29" s="17" t="s">
        <v>498</v>
      </c>
      <c r="BM29" s="17"/>
      <c r="BN29" s="17"/>
      <c r="BO29" s="28">
        <f t="shared" si="15"/>
        <v>0</v>
      </c>
    </row>
    <row r="30" spans="2:67" s="39" customFormat="1">
      <c r="B30" s="2" t="s">
        <v>232</v>
      </c>
      <c r="C30" s="93">
        <f>C15+C24</f>
        <v>675</v>
      </c>
      <c r="D30" s="93">
        <f>D15+D24</f>
        <v>719</v>
      </c>
      <c r="E30" s="93">
        <f>E15+E24</f>
        <v>728</v>
      </c>
      <c r="F30" s="93">
        <f>F15+F24</f>
        <v>696</v>
      </c>
      <c r="G30" s="24">
        <f>SUM(C30:F30)</f>
        <v>2818</v>
      </c>
      <c r="H30" s="93">
        <f>H15+H24</f>
        <v>660</v>
      </c>
      <c r="I30" s="93">
        <f>I15+I24</f>
        <v>731</v>
      </c>
      <c r="J30" s="93">
        <f>J15+J24</f>
        <v>720</v>
      </c>
      <c r="K30" s="93">
        <f>K15+K24</f>
        <v>739</v>
      </c>
      <c r="L30" s="24">
        <f>L15+L24</f>
        <v>2851</v>
      </c>
      <c r="M30" s="93">
        <f t="shared" ref="M30:AA30" si="16">M15+M24+M28+M26+M27</f>
        <v>714</v>
      </c>
      <c r="N30" s="93">
        <f t="shared" si="16"/>
        <v>757</v>
      </c>
      <c r="O30" s="93">
        <f t="shared" si="16"/>
        <v>761</v>
      </c>
      <c r="P30" s="93">
        <f t="shared" si="16"/>
        <v>742</v>
      </c>
      <c r="Q30" s="24">
        <f t="shared" si="16"/>
        <v>2974</v>
      </c>
      <c r="R30" s="93">
        <f t="shared" si="16"/>
        <v>754</v>
      </c>
      <c r="S30" s="93">
        <f t="shared" si="16"/>
        <v>796</v>
      </c>
      <c r="T30" s="93">
        <f t="shared" si="16"/>
        <v>818</v>
      </c>
      <c r="U30" s="93">
        <f t="shared" si="16"/>
        <v>775</v>
      </c>
      <c r="V30" s="24">
        <f t="shared" si="16"/>
        <v>3143</v>
      </c>
      <c r="W30" s="93">
        <f t="shared" si="16"/>
        <v>738</v>
      </c>
      <c r="X30" s="93">
        <f t="shared" si="16"/>
        <v>797</v>
      </c>
      <c r="Y30" s="93">
        <f t="shared" si="16"/>
        <v>715</v>
      </c>
      <c r="Z30" s="93">
        <f t="shared" si="16"/>
        <v>752</v>
      </c>
      <c r="AA30" s="24">
        <f t="shared" si="16"/>
        <v>3003</v>
      </c>
      <c r="AB30" s="93">
        <f t="shared" ref="AB30:AU30" si="17">AB15+AB24+AB25+AB28+AB26</f>
        <v>742</v>
      </c>
      <c r="AC30" s="93">
        <f t="shared" si="17"/>
        <v>779</v>
      </c>
      <c r="AD30" s="93">
        <f t="shared" si="17"/>
        <v>821</v>
      </c>
      <c r="AE30" s="93">
        <f t="shared" si="17"/>
        <v>752</v>
      </c>
      <c r="AF30" s="24">
        <f t="shared" si="17"/>
        <v>3095</v>
      </c>
      <c r="AG30" s="93">
        <f t="shared" si="17"/>
        <v>765</v>
      </c>
      <c r="AH30" s="93">
        <f t="shared" si="17"/>
        <v>910</v>
      </c>
      <c r="AI30" s="93">
        <f t="shared" si="17"/>
        <v>970</v>
      </c>
      <c r="AJ30" s="93">
        <f t="shared" si="17"/>
        <v>952</v>
      </c>
      <c r="AK30" s="24">
        <f t="shared" si="17"/>
        <v>3596</v>
      </c>
      <c r="AL30" s="93">
        <f t="shared" si="17"/>
        <v>973</v>
      </c>
      <c r="AM30" s="93">
        <f t="shared" si="17"/>
        <v>1006</v>
      </c>
      <c r="AN30" s="93">
        <f t="shared" si="17"/>
        <v>1059</v>
      </c>
      <c r="AO30" s="93">
        <f t="shared" si="17"/>
        <v>998</v>
      </c>
      <c r="AP30" s="24">
        <f t="shared" si="17"/>
        <v>4036</v>
      </c>
      <c r="AQ30" s="93">
        <f t="shared" si="17"/>
        <v>968</v>
      </c>
      <c r="AR30" s="93">
        <f t="shared" si="17"/>
        <v>1044</v>
      </c>
      <c r="AS30" s="93">
        <f t="shared" si="17"/>
        <v>1085</v>
      </c>
      <c r="AT30" s="93">
        <f t="shared" si="17"/>
        <v>1029</v>
      </c>
      <c r="AU30" s="24">
        <f t="shared" si="17"/>
        <v>4125</v>
      </c>
      <c r="AV30" s="93">
        <f t="shared" ref="AV30:BK30" si="18">AV15+AV24+AV25+AV26+AV27+AV28</f>
        <v>1018</v>
      </c>
      <c r="AW30" s="93">
        <f t="shared" si="18"/>
        <v>1060</v>
      </c>
      <c r="AX30" s="93">
        <f t="shared" si="18"/>
        <v>1035</v>
      </c>
      <c r="AY30" s="93">
        <f t="shared" si="18"/>
        <v>1232</v>
      </c>
      <c r="AZ30" s="24">
        <f t="shared" si="18"/>
        <v>4346</v>
      </c>
      <c r="BA30" s="93">
        <f t="shared" si="18"/>
        <v>1082</v>
      </c>
      <c r="BB30" s="93">
        <f t="shared" si="18"/>
        <v>1105</v>
      </c>
      <c r="BC30" s="93">
        <f t="shared" si="18"/>
        <v>1143</v>
      </c>
      <c r="BD30" s="93">
        <f t="shared" si="18"/>
        <v>1117</v>
      </c>
      <c r="BE30" s="24">
        <f t="shared" si="18"/>
        <v>4447</v>
      </c>
      <c r="BF30" s="93">
        <f t="shared" si="18"/>
        <v>1138</v>
      </c>
      <c r="BG30" s="93">
        <f t="shared" si="18"/>
        <v>1165</v>
      </c>
      <c r="BH30" s="93">
        <f t="shared" si="18"/>
        <v>1035</v>
      </c>
      <c r="BI30" s="93">
        <f t="shared" si="18"/>
        <v>1168</v>
      </c>
      <c r="BJ30" s="24">
        <f>BJ15+BJ24+BJ25+BJ26+BJ27+BJ28</f>
        <v>4506</v>
      </c>
      <c r="BK30" s="93">
        <f t="shared" si="18"/>
        <v>1163</v>
      </c>
      <c r="BL30" s="93">
        <f t="shared" ref="BL30" si="19">BL15+BL24+BL25+BL26+BL27+BL28</f>
        <v>1156</v>
      </c>
      <c r="BM30" s="93"/>
      <c r="BN30" s="93"/>
      <c r="BO30" s="24">
        <f>BO15+BO24+BO25+BO26+BO27+BO28</f>
        <v>2319</v>
      </c>
    </row>
    <row r="31" spans="2:67" ht="13.5">
      <c r="B31" s="3" t="s">
        <v>89</v>
      </c>
      <c r="C31" s="150">
        <v>193</v>
      </c>
      <c r="D31" s="150">
        <v>208</v>
      </c>
      <c r="E31" s="150">
        <v>206</v>
      </c>
      <c r="F31" s="153">
        <v>198</v>
      </c>
      <c r="G31" s="105">
        <f>SUM(C31:F31)</f>
        <v>805</v>
      </c>
      <c r="H31" s="150">
        <v>184</v>
      </c>
      <c r="I31" s="150">
        <v>212</v>
      </c>
      <c r="J31" s="150">
        <v>196</v>
      </c>
      <c r="K31" s="153">
        <v>206</v>
      </c>
      <c r="L31" s="105">
        <f>SUM(H31:K31)+1</f>
        <v>799</v>
      </c>
      <c r="M31" s="150">
        <v>203</v>
      </c>
      <c r="N31" s="150">
        <v>218</v>
      </c>
      <c r="O31" s="150">
        <v>214</v>
      </c>
      <c r="P31" s="153">
        <v>199</v>
      </c>
      <c r="Q31" s="105">
        <f>SUM(M31:P31)</f>
        <v>834</v>
      </c>
      <c r="R31" s="150">
        <v>213</v>
      </c>
      <c r="S31" s="150">
        <v>218</v>
      </c>
      <c r="T31" s="290">
        <v>22</v>
      </c>
      <c r="U31" s="290">
        <v>204</v>
      </c>
      <c r="V31" s="105">
        <f>SUM(R31:U31)</f>
        <v>657</v>
      </c>
      <c r="W31" s="150">
        <v>204</v>
      </c>
      <c r="X31" s="150">
        <v>216</v>
      </c>
      <c r="Y31" s="290">
        <v>213</v>
      </c>
      <c r="Z31" s="290">
        <v>171</v>
      </c>
      <c r="AA31" s="105">
        <f>SUM(W31:Z31)-1</f>
        <v>803</v>
      </c>
      <c r="AB31" s="150">
        <v>196</v>
      </c>
      <c r="AC31" s="150">
        <v>207</v>
      </c>
      <c r="AD31" s="150">
        <v>194</v>
      </c>
      <c r="AE31" s="290">
        <v>160</v>
      </c>
      <c r="AF31" s="105">
        <f>SUM(AB31:AE31)</f>
        <v>757</v>
      </c>
      <c r="AG31" s="150">
        <v>201</v>
      </c>
      <c r="AH31" s="150">
        <v>255</v>
      </c>
      <c r="AI31" s="150">
        <v>263</v>
      </c>
      <c r="AJ31" s="290">
        <v>255</v>
      </c>
      <c r="AK31" s="105">
        <f>SUM(AG31:AJ31)-1</f>
        <v>973</v>
      </c>
      <c r="AL31" s="150">
        <v>268</v>
      </c>
      <c r="AM31" s="150">
        <v>272</v>
      </c>
      <c r="AN31" s="150">
        <v>283</v>
      </c>
      <c r="AO31" s="290">
        <v>245</v>
      </c>
      <c r="AP31" s="105">
        <f>SUM(AL31:AO31)</f>
        <v>1068</v>
      </c>
      <c r="AQ31" s="150">
        <v>279</v>
      </c>
      <c r="AR31" s="150">
        <v>295</v>
      </c>
      <c r="AS31" s="150">
        <v>285</v>
      </c>
      <c r="AT31" s="290">
        <v>284</v>
      </c>
      <c r="AU31" s="105">
        <f>SUM(AQ31:AT31)-1</f>
        <v>1142</v>
      </c>
      <c r="AV31" s="150">
        <v>294</v>
      </c>
      <c r="AW31" s="150">
        <v>309</v>
      </c>
      <c r="AX31" s="150">
        <v>301</v>
      </c>
      <c r="AY31" s="150">
        <v>273</v>
      </c>
      <c r="AZ31" s="105">
        <f>SUM(AV31:AY31)</f>
        <v>1177</v>
      </c>
      <c r="BA31" s="150">
        <v>318</v>
      </c>
      <c r="BB31" s="150">
        <v>327</v>
      </c>
      <c r="BC31" s="150">
        <v>337</v>
      </c>
      <c r="BD31" s="150">
        <v>303</v>
      </c>
      <c r="BE31" s="105">
        <f>SUM(BA31:BD31)</f>
        <v>1285</v>
      </c>
      <c r="BF31" s="150">
        <v>329</v>
      </c>
      <c r="BG31" s="150">
        <v>325</v>
      </c>
      <c r="BH31" s="150">
        <v>287</v>
      </c>
      <c r="BI31" s="150">
        <v>248</v>
      </c>
      <c r="BJ31" s="105">
        <f>SUM(BF31:BI31)+1</f>
        <v>1190</v>
      </c>
      <c r="BK31" s="150">
        <v>343</v>
      </c>
      <c r="BL31" s="150">
        <v>337</v>
      </c>
      <c r="BM31" s="150"/>
      <c r="BN31" s="150"/>
      <c r="BO31" s="105">
        <f t="shared" si="15"/>
        <v>680</v>
      </c>
    </row>
    <row r="32" spans="2:67">
      <c r="B32" s="399" t="s">
        <v>90</v>
      </c>
      <c r="C32" s="89"/>
      <c r="D32" s="89"/>
      <c r="E32" s="89"/>
      <c r="F32" s="89"/>
      <c r="G32" s="28"/>
      <c r="H32" s="89"/>
      <c r="I32" s="89"/>
      <c r="J32" s="89"/>
      <c r="K32" s="89"/>
      <c r="L32" s="28"/>
      <c r="M32" s="89"/>
      <c r="N32" s="89"/>
      <c r="O32" s="89"/>
      <c r="P32" s="89"/>
      <c r="Q32" s="28"/>
      <c r="T32" s="100"/>
      <c r="U32" s="100"/>
      <c r="V32" s="28"/>
      <c r="W32" s="101"/>
      <c r="Y32" s="100"/>
      <c r="Z32" s="100"/>
      <c r="AA32" s="28"/>
      <c r="AB32" s="101"/>
      <c r="AC32" s="101"/>
      <c r="AD32" s="101"/>
      <c r="AE32" s="100"/>
      <c r="AF32" s="28"/>
      <c r="AG32" s="101"/>
      <c r="AH32" s="101"/>
      <c r="AI32" s="101"/>
      <c r="AJ32" s="101"/>
      <c r="AK32" s="28"/>
      <c r="AL32" s="101"/>
      <c r="AM32" s="101"/>
      <c r="AN32" s="101"/>
      <c r="AO32" s="101"/>
      <c r="AP32" s="28"/>
      <c r="AQ32" s="101"/>
      <c r="AR32" s="101"/>
      <c r="AS32" s="101"/>
      <c r="AT32" s="101"/>
      <c r="AU32" s="9">
        <v>0.27700000000000002</v>
      </c>
      <c r="AV32" s="101">
        <v>0.28899999999999998</v>
      </c>
      <c r="AW32" s="101">
        <v>0.29099999999999998</v>
      </c>
      <c r="AX32" s="101">
        <v>0.29099999999999998</v>
      </c>
      <c r="AY32" s="101">
        <v>0.221</v>
      </c>
      <c r="AZ32" s="9">
        <v>0.27100000000000002</v>
      </c>
      <c r="BA32" s="101">
        <v>0.29299999999999998</v>
      </c>
      <c r="BB32" s="101">
        <v>0.29599999999999999</v>
      </c>
      <c r="BC32" s="101">
        <v>0.29399999999999998</v>
      </c>
      <c r="BD32" s="101">
        <v>0.27200000000000002</v>
      </c>
      <c r="BE32" s="9">
        <v>0.28899999999999998</v>
      </c>
      <c r="BF32" s="26">
        <v>0.28899999999999998</v>
      </c>
      <c r="BG32" s="26">
        <f>BG31/BG30</f>
        <v>0.27896995708154504</v>
      </c>
      <c r="BH32" s="26">
        <v>0.27800000000000002</v>
      </c>
      <c r="BI32" s="26">
        <v>0.27800000000000002</v>
      </c>
      <c r="BJ32" s="9">
        <f>BJ31/BJ30</f>
        <v>0.26409232134931204</v>
      </c>
      <c r="BK32" s="26">
        <f>BK31/BK30</f>
        <v>0.29492691315563196</v>
      </c>
      <c r="BL32" s="26">
        <f>BL31/BL30</f>
        <v>0.29152249134948099</v>
      </c>
      <c r="BM32" s="26"/>
      <c r="BN32" s="26"/>
      <c r="BO32" s="9">
        <f>BO31/BO30</f>
        <v>0.29322984044846917</v>
      </c>
    </row>
    <row r="33" spans="2:67" s="39" customFormat="1">
      <c r="B33" s="2" t="s">
        <v>233</v>
      </c>
      <c r="C33" s="93">
        <f>C30-C31</f>
        <v>482</v>
      </c>
      <c r="D33" s="93">
        <f>D30-D31</f>
        <v>511</v>
      </c>
      <c r="E33" s="93">
        <f>E30-E31</f>
        <v>522</v>
      </c>
      <c r="F33" s="93">
        <f>F30-F31</f>
        <v>498</v>
      </c>
      <c r="G33" s="24">
        <f>SUM(C33:F33)</f>
        <v>2013</v>
      </c>
      <c r="H33" s="93">
        <f>H30-H31</f>
        <v>476</v>
      </c>
      <c r="I33" s="93">
        <f>I30-I31</f>
        <v>519</v>
      </c>
      <c r="J33" s="93">
        <f>J30-J31</f>
        <v>524</v>
      </c>
      <c r="K33" s="93">
        <f>K30-K31</f>
        <v>533</v>
      </c>
      <c r="L33" s="24">
        <f>SUM(H33:K33)</f>
        <v>2052</v>
      </c>
      <c r="M33" s="93">
        <f>M30-M31</f>
        <v>511</v>
      </c>
      <c r="N33" s="93">
        <f>N30-N31</f>
        <v>539</v>
      </c>
      <c r="O33" s="93">
        <f>O30-O31</f>
        <v>547</v>
      </c>
      <c r="P33" s="93">
        <f>P30-P31</f>
        <v>543</v>
      </c>
      <c r="Q33" s="24">
        <f>SUM(M33:P33)</f>
        <v>2140</v>
      </c>
      <c r="R33" s="93">
        <f>R30-R31</f>
        <v>541</v>
      </c>
      <c r="S33" s="93">
        <f>S30-S31</f>
        <v>578</v>
      </c>
      <c r="T33" s="93">
        <f>T30-T31</f>
        <v>796</v>
      </c>
      <c r="U33" s="93">
        <f>U30-U31</f>
        <v>571</v>
      </c>
      <c r="V33" s="24">
        <f>SUM(R33:U33)</f>
        <v>2486</v>
      </c>
      <c r="W33" s="93">
        <f t="shared" ref="W33:AB33" si="20">W30-W31</f>
        <v>534</v>
      </c>
      <c r="X33" s="93">
        <f t="shared" si="20"/>
        <v>581</v>
      </c>
      <c r="Y33" s="93">
        <f t="shared" si="20"/>
        <v>502</v>
      </c>
      <c r="Z33" s="93">
        <f t="shared" si="20"/>
        <v>581</v>
      </c>
      <c r="AA33" s="24">
        <f t="shared" si="20"/>
        <v>2200</v>
      </c>
      <c r="AB33" s="93">
        <f t="shared" si="20"/>
        <v>546</v>
      </c>
      <c r="AC33" s="93">
        <f t="shared" ref="AC33:AT33" si="21">AC30-AC31</f>
        <v>572</v>
      </c>
      <c r="AD33" s="93">
        <f t="shared" si="21"/>
        <v>627</v>
      </c>
      <c r="AE33" s="93">
        <f t="shared" si="21"/>
        <v>592</v>
      </c>
      <c r="AF33" s="24">
        <f t="shared" si="21"/>
        <v>2338</v>
      </c>
      <c r="AG33" s="93">
        <f t="shared" si="21"/>
        <v>564</v>
      </c>
      <c r="AH33" s="93">
        <f t="shared" si="21"/>
        <v>655</v>
      </c>
      <c r="AI33" s="93">
        <f t="shared" si="21"/>
        <v>707</v>
      </c>
      <c r="AJ33" s="93">
        <f t="shared" si="21"/>
        <v>697</v>
      </c>
      <c r="AK33" s="24">
        <f>AK30-AK31</f>
        <v>2623</v>
      </c>
      <c r="AL33" s="93">
        <f t="shared" si="21"/>
        <v>705</v>
      </c>
      <c r="AM33" s="93">
        <f t="shared" si="21"/>
        <v>734</v>
      </c>
      <c r="AN33" s="93">
        <f t="shared" si="21"/>
        <v>776</v>
      </c>
      <c r="AO33" s="93">
        <f t="shared" si="21"/>
        <v>753</v>
      </c>
      <c r="AP33" s="24">
        <f>AP30-AP31</f>
        <v>2968</v>
      </c>
      <c r="AQ33" s="93">
        <f t="shared" si="21"/>
        <v>689</v>
      </c>
      <c r="AR33" s="93">
        <f t="shared" si="21"/>
        <v>749</v>
      </c>
      <c r="AS33" s="93">
        <f t="shared" si="21"/>
        <v>800</v>
      </c>
      <c r="AT33" s="93">
        <f t="shared" si="21"/>
        <v>745</v>
      </c>
      <c r="AU33" s="24">
        <f t="shared" ref="AU33:BC33" si="22">AU30-AU31</f>
        <v>2983</v>
      </c>
      <c r="AV33" s="93">
        <f t="shared" si="22"/>
        <v>724</v>
      </c>
      <c r="AW33" s="93">
        <f t="shared" si="22"/>
        <v>751</v>
      </c>
      <c r="AX33" s="93">
        <f t="shared" si="22"/>
        <v>734</v>
      </c>
      <c r="AY33" s="93">
        <f t="shared" si="22"/>
        <v>959</v>
      </c>
      <c r="AZ33" s="24">
        <f t="shared" si="22"/>
        <v>3169</v>
      </c>
      <c r="BA33" s="93">
        <f t="shared" si="22"/>
        <v>764</v>
      </c>
      <c r="BB33" s="93">
        <f t="shared" si="22"/>
        <v>778</v>
      </c>
      <c r="BC33" s="93">
        <f t="shared" si="22"/>
        <v>806</v>
      </c>
      <c r="BD33" s="93">
        <f t="shared" ref="BD33:BJ33" si="23">BD30-BD31</f>
        <v>814</v>
      </c>
      <c r="BE33" s="24">
        <f t="shared" si="23"/>
        <v>3162</v>
      </c>
      <c r="BF33" s="93">
        <f t="shared" si="23"/>
        <v>809</v>
      </c>
      <c r="BG33" s="93">
        <f t="shared" si="23"/>
        <v>840</v>
      </c>
      <c r="BH33" s="93">
        <f t="shared" si="23"/>
        <v>748</v>
      </c>
      <c r="BI33" s="93">
        <f t="shared" si="23"/>
        <v>920</v>
      </c>
      <c r="BJ33" s="24">
        <f t="shared" si="23"/>
        <v>3316</v>
      </c>
      <c r="BK33" s="93">
        <f>BK30-BK31</f>
        <v>820</v>
      </c>
      <c r="BL33" s="93">
        <f>BL30-BL31</f>
        <v>819</v>
      </c>
      <c r="BM33" s="93"/>
      <c r="BN33" s="93"/>
      <c r="BO33" s="24">
        <f>BO30-BO31</f>
        <v>1639</v>
      </c>
    </row>
    <row r="34" spans="2:67">
      <c r="B34" s="3"/>
      <c r="C34" s="89"/>
      <c r="D34" s="89"/>
      <c r="E34" s="89"/>
      <c r="F34" s="89"/>
      <c r="G34" s="28"/>
      <c r="H34" s="89"/>
      <c r="I34" s="89"/>
      <c r="J34" s="89"/>
      <c r="K34" s="90"/>
      <c r="L34" s="28"/>
      <c r="M34" s="89"/>
      <c r="N34" s="89"/>
      <c r="O34" s="89"/>
      <c r="P34" s="89"/>
      <c r="Q34" s="28"/>
      <c r="R34" s="89"/>
      <c r="S34" s="89"/>
      <c r="T34" s="89"/>
      <c r="U34" s="89"/>
      <c r="V34" s="28"/>
      <c r="W34" s="89"/>
      <c r="X34" s="89"/>
      <c r="Y34" s="89"/>
      <c r="Z34" s="89"/>
      <c r="AA34" s="28"/>
      <c r="AB34" s="89"/>
      <c r="AC34" s="89"/>
      <c r="AD34" s="89"/>
      <c r="AE34" s="89"/>
      <c r="AF34" s="28"/>
      <c r="AG34" s="89"/>
      <c r="AH34" s="89"/>
      <c r="AI34" s="89"/>
      <c r="AJ34" s="89"/>
      <c r="AK34" s="28"/>
      <c r="AL34" s="89"/>
      <c r="AM34" s="89"/>
      <c r="AN34" s="89"/>
      <c r="AO34" s="89"/>
      <c r="AP34" s="28"/>
      <c r="AQ34" s="89"/>
      <c r="AR34" s="89"/>
      <c r="AS34" s="89"/>
      <c r="AT34" s="89"/>
      <c r="AU34" s="28"/>
      <c r="AV34" s="89"/>
      <c r="AW34" s="89"/>
      <c r="AX34" s="89"/>
      <c r="AY34" s="89"/>
      <c r="AZ34" s="28"/>
      <c r="BA34" s="89"/>
      <c r="BB34" s="89"/>
      <c r="BC34" s="89"/>
      <c r="BD34" s="89"/>
      <c r="BE34" s="28"/>
      <c r="BF34" s="89"/>
      <c r="BG34" s="89"/>
      <c r="BH34" s="89"/>
      <c r="BI34" s="89"/>
      <c r="BJ34" s="28"/>
      <c r="BK34" s="89"/>
      <c r="BL34" s="89"/>
      <c r="BM34" s="89"/>
      <c r="BN34" s="89"/>
      <c r="BO34" s="28"/>
    </row>
    <row r="35" spans="2:67">
      <c r="B35" s="3" t="s">
        <v>92</v>
      </c>
      <c r="C35" s="89"/>
      <c r="D35" s="89"/>
      <c r="E35" s="89"/>
      <c r="F35" s="89"/>
      <c r="G35" s="28"/>
      <c r="H35" s="89"/>
      <c r="I35" s="89"/>
      <c r="J35" s="89"/>
      <c r="K35" s="89"/>
      <c r="L35" s="28"/>
      <c r="M35" s="89"/>
      <c r="N35" s="89"/>
      <c r="O35" s="89"/>
      <c r="P35" s="89"/>
      <c r="Q35" s="28"/>
      <c r="R35" s="89"/>
      <c r="S35" s="89"/>
      <c r="T35" s="89"/>
      <c r="U35" s="89"/>
      <c r="V35" s="28"/>
      <c r="W35" s="89">
        <v>0</v>
      </c>
      <c r="X35" s="89">
        <v>0</v>
      </c>
      <c r="Y35" s="89">
        <v>0</v>
      </c>
      <c r="Z35" s="89">
        <v>1</v>
      </c>
      <c r="AA35" s="28">
        <f>SUM(W35:Z35)</f>
        <v>1</v>
      </c>
      <c r="AB35" s="89">
        <v>0</v>
      </c>
      <c r="AC35" s="89">
        <v>3</v>
      </c>
      <c r="AD35" s="89">
        <v>1</v>
      </c>
      <c r="AE35" s="89">
        <v>2</v>
      </c>
      <c r="AF35" s="28">
        <f>SUM(AB35:AE35)+1</f>
        <v>7</v>
      </c>
      <c r="AG35" s="89">
        <v>6</v>
      </c>
      <c r="AH35" s="89">
        <v>2</v>
      </c>
      <c r="AI35" s="89">
        <v>2</v>
      </c>
      <c r="AJ35" s="89">
        <v>0</v>
      </c>
      <c r="AK35" s="28">
        <f>SUM(AG35:AJ35)</f>
        <v>10</v>
      </c>
      <c r="AL35" s="89">
        <v>1</v>
      </c>
      <c r="AM35" s="89">
        <v>1</v>
      </c>
      <c r="AN35" s="89">
        <v>2</v>
      </c>
      <c r="AO35" s="89">
        <v>1</v>
      </c>
      <c r="AP35" s="28">
        <f>SUM(AL35:AO35)</f>
        <v>5</v>
      </c>
      <c r="AQ35" s="89">
        <v>0</v>
      </c>
      <c r="AR35" s="89">
        <v>1</v>
      </c>
      <c r="AS35" s="89">
        <v>0</v>
      </c>
      <c r="AT35" s="89">
        <v>1</v>
      </c>
      <c r="AU35" s="28">
        <f>SUM(AQ35:AT35)</f>
        <v>2</v>
      </c>
      <c r="AV35" s="89">
        <v>0</v>
      </c>
      <c r="AW35" s="89">
        <v>0</v>
      </c>
      <c r="AX35" s="89">
        <v>1</v>
      </c>
      <c r="AY35" s="89">
        <v>1</v>
      </c>
      <c r="AZ35" s="28">
        <f>SUM(AV35:AY35)</f>
        <v>2</v>
      </c>
      <c r="BA35" s="89">
        <v>1</v>
      </c>
      <c r="BB35" s="89">
        <v>1</v>
      </c>
      <c r="BC35" s="89">
        <v>2</v>
      </c>
      <c r="BD35" s="89">
        <v>1</v>
      </c>
      <c r="BE35" s="28">
        <f>SUM(BA35:BD35)-1</f>
        <v>4</v>
      </c>
      <c r="BF35" s="89">
        <v>0</v>
      </c>
      <c r="BG35" s="89">
        <v>1</v>
      </c>
      <c r="BH35" s="89">
        <v>1</v>
      </c>
      <c r="BI35" s="89">
        <v>1</v>
      </c>
      <c r="BJ35" s="28">
        <f>SUM(BF35:BI35)</f>
        <v>3</v>
      </c>
      <c r="BK35" s="89">
        <v>1</v>
      </c>
      <c r="BL35" s="89">
        <v>2</v>
      </c>
      <c r="BM35" s="89"/>
      <c r="BN35" s="89"/>
      <c r="BO35" s="28">
        <f>SUM(BK35:BN35)-1</f>
        <v>2</v>
      </c>
    </row>
    <row r="36" spans="2:67">
      <c r="B36" s="3"/>
      <c r="C36" s="89"/>
      <c r="D36" s="89"/>
      <c r="E36" s="89"/>
      <c r="F36" s="89"/>
      <c r="G36" s="28"/>
      <c r="H36" s="89"/>
      <c r="I36" s="89"/>
      <c r="J36" s="89"/>
      <c r="K36" s="89"/>
      <c r="L36" s="28"/>
      <c r="M36" s="89"/>
      <c r="N36" s="89"/>
      <c r="O36" s="101"/>
      <c r="P36" s="89"/>
      <c r="Q36" s="28"/>
      <c r="S36" s="101"/>
      <c r="T36" s="100"/>
      <c r="U36" s="100"/>
      <c r="V36" s="28"/>
      <c r="X36" s="101"/>
      <c r="Y36" s="100"/>
      <c r="Z36" s="100"/>
      <c r="AA36" s="28"/>
      <c r="AE36" s="100"/>
      <c r="AF36" s="28"/>
      <c r="AJ36" s="100"/>
      <c r="AK36" s="28"/>
      <c r="AO36" s="100"/>
      <c r="AP36" s="28"/>
      <c r="AT36" s="100"/>
      <c r="AU36" s="28"/>
      <c r="AY36" s="100"/>
      <c r="AZ36" s="28"/>
      <c r="BD36" s="100"/>
      <c r="BE36" s="28"/>
      <c r="BI36" s="100"/>
      <c r="BJ36" s="28"/>
      <c r="BN36" s="100"/>
      <c r="BO36" s="28"/>
    </row>
    <row r="37" spans="2:67" s="39" customFormat="1">
      <c r="B37" s="2" t="s">
        <v>93</v>
      </c>
      <c r="C37" s="23">
        <f t="shared" ref="C37:Y37" si="24">C33-C35</f>
        <v>482</v>
      </c>
      <c r="D37" s="23">
        <f t="shared" si="24"/>
        <v>511</v>
      </c>
      <c r="E37" s="23">
        <f t="shared" si="24"/>
        <v>522</v>
      </c>
      <c r="F37" s="23">
        <f t="shared" si="24"/>
        <v>498</v>
      </c>
      <c r="G37" s="24">
        <f t="shared" si="24"/>
        <v>2013</v>
      </c>
      <c r="H37" s="23">
        <f t="shared" si="24"/>
        <v>476</v>
      </c>
      <c r="I37" s="23">
        <f t="shared" si="24"/>
        <v>519</v>
      </c>
      <c r="J37" s="23">
        <f t="shared" si="24"/>
        <v>524</v>
      </c>
      <c r="K37" s="23">
        <f t="shared" si="24"/>
        <v>533</v>
      </c>
      <c r="L37" s="24">
        <f t="shared" si="24"/>
        <v>2052</v>
      </c>
      <c r="M37" s="23">
        <f t="shared" si="24"/>
        <v>511</v>
      </c>
      <c r="N37" s="23">
        <f t="shared" si="24"/>
        <v>539</v>
      </c>
      <c r="O37" s="23">
        <f t="shared" si="24"/>
        <v>547</v>
      </c>
      <c r="P37" s="23">
        <f t="shared" si="24"/>
        <v>543</v>
      </c>
      <c r="Q37" s="24">
        <f t="shared" si="24"/>
        <v>2140</v>
      </c>
      <c r="R37" s="23">
        <f t="shared" si="24"/>
        <v>541</v>
      </c>
      <c r="S37" s="23">
        <f t="shared" si="24"/>
        <v>578</v>
      </c>
      <c r="T37" s="23">
        <f t="shared" si="24"/>
        <v>796</v>
      </c>
      <c r="U37" s="23">
        <f t="shared" si="24"/>
        <v>571</v>
      </c>
      <c r="V37" s="24">
        <f t="shared" si="24"/>
        <v>2486</v>
      </c>
      <c r="W37" s="23">
        <f t="shared" si="24"/>
        <v>534</v>
      </c>
      <c r="X37" s="23">
        <f t="shared" si="24"/>
        <v>581</v>
      </c>
      <c r="Y37" s="23">
        <f t="shared" si="24"/>
        <v>502</v>
      </c>
      <c r="Z37" s="23">
        <f t="shared" ref="Z37:AT37" si="25">Z33-Z35</f>
        <v>580</v>
      </c>
      <c r="AA37" s="24">
        <f t="shared" si="25"/>
        <v>2199</v>
      </c>
      <c r="AB37" s="23">
        <f t="shared" si="25"/>
        <v>546</v>
      </c>
      <c r="AC37" s="23">
        <f t="shared" si="25"/>
        <v>569</v>
      </c>
      <c r="AD37" s="23">
        <f t="shared" si="25"/>
        <v>626</v>
      </c>
      <c r="AE37" s="23">
        <f t="shared" si="25"/>
        <v>590</v>
      </c>
      <c r="AF37" s="24">
        <f t="shared" si="25"/>
        <v>2331</v>
      </c>
      <c r="AG37" s="23">
        <f t="shared" si="25"/>
        <v>558</v>
      </c>
      <c r="AH37" s="23">
        <f t="shared" si="25"/>
        <v>653</v>
      </c>
      <c r="AI37" s="23">
        <f t="shared" si="25"/>
        <v>705</v>
      </c>
      <c r="AJ37" s="23">
        <f t="shared" si="25"/>
        <v>697</v>
      </c>
      <c r="AK37" s="24">
        <f>AK33-AK35</f>
        <v>2613</v>
      </c>
      <c r="AL37" s="23">
        <f t="shared" si="25"/>
        <v>704</v>
      </c>
      <c r="AM37" s="23">
        <f t="shared" si="25"/>
        <v>733</v>
      </c>
      <c r="AN37" s="23">
        <f t="shared" si="25"/>
        <v>774</v>
      </c>
      <c r="AO37" s="23">
        <f t="shared" si="25"/>
        <v>752</v>
      </c>
      <c r="AP37" s="24">
        <f>AP33-AP35</f>
        <v>2963</v>
      </c>
      <c r="AQ37" s="23">
        <f t="shared" si="25"/>
        <v>689</v>
      </c>
      <c r="AR37" s="23">
        <f t="shared" si="25"/>
        <v>748</v>
      </c>
      <c r="AS37" s="23">
        <f t="shared" si="25"/>
        <v>800</v>
      </c>
      <c r="AT37" s="23">
        <f t="shared" si="25"/>
        <v>744</v>
      </c>
      <c r="AU37" s="24">
        <f t="shared" ref="AU37:BD37" si="26">AU33-AU35</f>
        <v>2981</v>
      </c>
      <c r="AV37" s="23">
        <f t="shared" si="26"/>
        <v>724</v>
      </c>
      <c r="AW37" s="23">
        <f t="shared" si="26"/>
        <v>751</v>
      </c>
      <c r="AX37" s="23">
        <f t="shared" si="26"/>
        <v>733</v>
      </c>
      <c r="AY37" s="23">
        <f t="shared" si="26"/>
        <v>958</v>
      </c>
      <c r="AZ37" s="24">
        <f t="shared" si="26"/>
        <v>3167</v>
      </c>
      <c r="BA37" s="23">
        <f t="shared" si="26"/>
        <v>763</v>
      </c>
      <c r="BB37" s="23">
        <f t="shared" si="26"/>
        <v>777</v>
      </c>
      <c r="BC37" s="23">
        <f t="shared" si="26"/>
        <v>804</v>
      </c>
      <c r="BD37" s="23">
        <f t="shared" si="26"/>
        <v>813</v>
      </c>
      <c r="BE37" s="24">
        <f t="shared" ref="BE37:BK37" si="27">BE33-BE35</f>
        <v>3158</v>
      </c>
      <c r="BF37" s="23">
        <f t="shared" si="27"/>
        <v>809</v>
      </c>
      <c r="BG37" s="23">
        <f t="shared" si="27"/>
        <v>839</v>
      </c>
      <c r="BH37" s="23">
        <f t="shared" si="27"/>
        <v>747</v>
      </c>
      <c r="BI37" s="23">
        <f t="shared" si="27"/>
        <v>919</v>
      </c>
      <c r="BJ37" s="24">
        <f t="shared" si="27"/>
        <v>3313</v>
      </c>
      <c r="BK37" s="23">
        <f t="shared" si="27"/>
        <v>819</v>
      </c>
      <c r="BL37" s="23">
        <v>817</v>
      </c>
      <c r="BM37" s="23"/>
      <c r="BN37" s="23"/>
      <c r="BO37" s="24">
        <f>BO33-BO35</f>
        <v>1637</v>
      </c>
    </row>
    <row r="38" spans="2:67">
      <c r="B38" s="3"/>
      <c r="C38" s="111"/>
      <c r="D38" s="111"/>
      <c r="E38" s="111"/>
      <c r="F38" s="111"/>
      <c r="G38" s="9"/>
      <c r="H38" s="111"/>
      <c r="I38" s="111"/>
      <c r="J38" s="111"/>
      <c r="K38" s="111"/>
      <c r="L38" s="9"/>
      <c r="M38" s="111"/>
      <c r="N38" s="111"/>
      <c r="O38" s="111"/>
      <c r="P38" s="111"/>
      <c r="Q38" s="9"/>
      <c r="T38" s="107"/>
      <c r="U38" s="107"/>
      <c r="V38" s="9"/>
      <c r="Y38" s="107"/>
      <c r="Z38" s="107"/>
      <c r="AA38" s="9"/>
      <c r="AE38" s="107"/>
      <c r="AF38" s="9"/>
      <c r="AG38" s="101"/>
      <c r="AH38" s="101"/>
      <c r="AI38" s="101"/>
      <c r="AJ38" s="107"/>
      <c r="AK38" s="9"/>
      <c r="AL38" s="101"/>
      <c r="AM38" s="101"/>
      <c r="AN38" s="101"/>
      <c r="AO38" s="107"/>
      <c r="AP38" s="9"/>
      <c r="AQ38" s="101"/>
      <c r="AR38" s="101"/>
      <c r="AS38" s="101"/>
      <c r="AT38" s="107"/>
      <c r="AU38" s="9"/>
      <c r="AV38" s="101"/>
      <c r="AW38" s="101"/>
      <c r="AX38" s="101"/>
      <c r="AY38" s="107"/>
      <c r="AZ38" s="9"/>
      <c r="BA38" s="101"/>
      <c r="BB38" s="101"/>
      <c r="BC38" s="101"/>
      <c r="BD38" s="107"/>
      <c r="BE38" s="9"/>
      <c r="BF38" s="101"/>
      <c r="BG38" s="101"/>
      <c r="BH38" s="101"/>
      <c r="BI38" s="107"/>
      <c r="BJ38" s="9"/>
      <c r="BK38" s="101"/>
      <c r="BL38" s="101"/>
      <c r="BM38" s="101"/>
      <c r="BN38" s="107"/>
      <c r="BO38" s="9"/>
    </row>
    <row r="39" spans="2:67" s="39" customFormat="1">
      <c r="B39" s="2" t="s">
        <v>94</v>
      </c>
      <c r="C39" s="93"/>
      <c r="D39" s="93"/>
      <c r="E39" s="93"/>
      <c r="F39" s="108"/>
      <c r="G39" s="24"/>
      <c r="H39" s="93"/>
      <c r="I39" s="93"/>
      <c r="J39" s="93"/>
      <c r="K39" s="108"/>
      <c r="L39" s="24"/>
      <c r="M39" s="93"/>
      <c r="N39" s="93"/>
      <c r="O39" s="93"/>
      <c r="P39" s="108"/>
      <c r="Q39" s="24"/>
      <c r="T39" s="228"/>
      <c r="U39" s="228"/>
      <c r="V39" s="24"/>
      <c r="Y39" s="228"/>
      <c r="Z39" s="228"/>
      <c r="AA39" s="24"/>
      <c r="AE39" s="228"/>
      <c r="AF39" s="24"/>
      <c r="AJ39" s="228"/>
      <c r="AK39" s="24"/>
      <c r="AO39" s="228"/>
      <c r="AP39" s="24"/>
      <c r="AT39" s="228"/>
      <c r="AU39" s="24"/>
      <c r="AY39" s="228"/>
      <c r="AZ39" s="24"/>
      <c r="BD39" s="228"/>
      <c r="BE39" s="24"/>
      <c r="BI39" s="228"/>
      <c r="BJ39" s="24"/>
      <c r="BN39" s="228"/>
      <c r="BO39" s="24"/>
    </row>
    <row r="40" spans="2:67">
      <c r="B40" s="3" t="s">
        <v>234</v>
      </c>
      <c r="C40" s="16">
        <v>0.105</v>
      </c>
      <c r="D40" s="16">
        <v>0.11125</v>
      </c>
      <c r="E40" s="16">
        <v>0.115</v>
      </c>
      <c r="F40" s="21">
        <v>0.11</v>
      </c>
      <c r="G40" s="112">
        <v>0.44124999999999998</v>
      </c>
      <c r="H40" s="16">
        <v>0.105</v>
      </c>
      <c r="I40" s="16">
        <v>0.115</v>
      </c>
      <c r="J40" s="16">
        <v>0.115</v>
      </c>
      <c r="K40" s="21">
        <v>0.115</v>
      </c>
      <c r="L40" s="112">
        <v>0.45</v>
      </c>
      <c r="M40" s="16">
        <v>0.11</v>
      </c>
      <c r="N40" s="16">
        <v>0.12</v>
      </c>
      <c r="O40" s="16">
        <v>0.11965952485683372</v>
      </c>
      <c r="P40" s="16">
        <v>0.11878433715295446</v>
      </c>
      <c r="Q40" s="112">
        <v>0.46844386200978816</v>
      </c>
      <c r="R40" s="16">
        <v>0.11834668479067612</v>
      </c>
      <c r="S40" s="16">
        <v>0.1264291436104403</v>
      </c>
      <c r="T40" s="16">
        <v>0.17493930278698652</v>
      </c>
      <c r="U40" s="16">
        <v>0.13136843215010977</v>
      </c>
      <c r="V40" s="112">
        <v>0.55108356333821273</v>
      </c>
      <c r="W40" s="16">
        <v>0.12285302711246078</v>
      </c>
      <c r="X40" s="16">
        <f>X37/X45</f>
        <v>0.13365369804230576</v>
      </c>
      <c r="Y40" s="16">
        <f>Y37/Y45</f>
        <v>0.11546405311387292</v>
      </c>
      <c r="Z40" s="16">
        <f>Z37/Z45</f>
        <v>0.13342137328212414</v>
      </c>
      <c r="AA40" s="112">
        <f>SUM(W40:Z40)</f>
        <v>0.50539215155076356</v>
      </c>
      <c r="AB40" s="16">
        <f t="shared" ref="AB40:BJ40" si="28">AB37/AB45</f>
        <v>0.12691249517808062</v>
      </c>
      <c r="AC40" s="16">
        <f t="shared" si="28"/>
        <v>0.13390303141303131</v>
      </c>
      <c r="AD40" s="16">
        <f t="shared" si="28"/>
        <v>0.14765517648764123</v>
      </c>
      <c r="AE40" s="16">
        <f t="shared" si="28"/>
        <v>0.13914497545510224</v>
      </c>
      <c r="AF40" s="112">
        <f t="shared" si="28"/>
        <v>0.54747167502391769</v>
      </c>
      <c r="AG40" s="16">
        <f t="shared" si="28"/>
        <v>0.13156960740927634</v>
      </c>
      <c r="AH40" s="16">
        <f t="shared" si="28"/>
        <v>0.15394014379712911</v>
      </c>
      <c r="AI40" s="16">
        <f t="shared" si="28"/>
        <v>0.16616121078420837</v>
      </c>
      <c r="AJ40" s="16">
        <f t="shared" si="28"/>
        <v>0.16423938218432127</v>
      </c>
      <c r="AK40" s="112">
        <f t="shared" si="28"/>
        <v>0.61592252867505648</v>
      </c>
      <c r="AL40" s="16">
        <f t="shared" si="28"/>
        <v>0.16582197275652677</v>
      </c>
      <c r="AM40" s="16">
        <f t="shared" si="28"/>
        <v>0.17410658287149136</v>
      </c>
      <c r="AN40" s="16">
        <f t="shared" si="28"/>
        <v>0.18468737806807761</v>
      </c>
      <c r="AO40" s="16">
        <f t="shared" si="28"/>
        <v>0.17940029700849966</v>
      </c>
      <c r="AP40" s="112">
        <f t="shared" si="28"/>
        <v>0.70387625895846928</v>
      </c>
      <c r="AQ40" s="16">
        <f t="shared" si="28"/>
        <v>0.16429219328657721</v>
      </c>
      <c r="AR40" s="16">
        <f t="shared" si="28"/>
        <v>0.17832374970564124</v>
      </c>
      <c r="AS40" s="16">
        <f t="shared" si="28"/>
        <v>0.19090570695357834</v>
      </c>
      <c r="AT40" s="16">
        <f t="shared" si="28"/>
        <v>0.17953610787187657</v>
      </c>
      <c r="AU40" s="112">
        <f t="shared" si="28"/>
        <v>0.7130047425121776</v>
      </c>
      <c r="AV40" s="16">
        <f t="shared" si="28"/>
        <v>0.17499611304386342</v>
      </c>
      <c r="AW40" s="16">
        <f t="shared" si="28"/>
        <v>0.18146072628514739</v>
      </c>
      <c r="AX40" s="16">
        <f t="shared" si="28"/>
        <v>0.17709746605239329</v>
      </c>
      <c r="AY40" s="16">
        <f t="shared" si="28"/>
        <v>0.23143271086937758</v>
      </c>
      <c r="AZ40" s="112">
        <f t="shared" si="28"/>
        <v>0.76524052066520432</v>
      </c>
      <c r="BA40" s="16">
        <f t="shared" si="28"/>
        <v>0.1842873812280478</v>
      </c>
      <c r="BB40" s="16">
        <f t="shared" si="28"/>
        <v>0.18759929838200423</v>
      </c>
      <c r="BC40" s="16">
        <f t="shared" si="28"/>
        <v>0.19411187058609103</v>
      </c>
      <c r="BD40" s="16">
        <f t="shared" si="28"/>
        <v>0.19626163460062607</v>
      </c>
      <c r="BE40" s="112">
        <f t="shared" si="28"/>
        <v>0.76250508250805049</v>
      </c>
      <c r="BF40" s="16">
        <f t="shared" si="28"/>
        <v>0.19522334601950139</v>
      </c>
      <c r="BG40" s="16">
        <f t="shared" si="28"/>
        <v>0.20240237545584341</v>
      </c>
      <c r="BH40" s="16">
        <f t="shared" si="28"/>
        <v>0.18153334766685328</v>
      </c>
      <c r="BI40" s="16">
        <f t="shared" si="28"/>
        <v>0.22713683000863802</v>
      </c>
      <c r="BJ40" s="112">
        <f t="shared" si="28"/>
        <v>0.80553105486398469</v>
      </c>
      <c r="BK40" s="16">
        <f>$BK$37/BK45</f>
        <v>0.20233749459232972</v>
      </c>
      <c r="BL40" s="16">
        <f>$BL$37/BL45</f>
        <v>0.20172900139435407</v>
      </c>
      <c r="BO40" s="112">
        <f>$BO$37/BO45</f>
        <v>0.40431268161167783</v>
      </c>
    </row>
    <row r="41" spans="2:67">
      <c r="B41" s="3" t="s">
        <v>235</v>
      </c>
      <c r="C41" s="16">
        <v>0.105</v>
      </c>
      <c r="D41" s="16">
        <v>0.11125</v>
      </c>
      <c r="E41" s="16">
        <v>0.115</v>
      </c>
      <c r="F41" s="21">
        <v>0.11</v>
      </c>
      <c r="G41" s="112">
        <v>0.44124999999999998</v>
      </c>
      <c r="H41" s="16">
        <v>0.105</v>
      </c>
      <c r="I41" s="16">
        <v>0.115</v>
      </c>
      <c r="J41" s="16">
        <v>0.115</v>
      </c>
      <c r="K41" s="21">
        <v>0.115</v>
      </c>
      <c r="L41" s="112">
        <v>0.45</v>
      </c>
      <c r="M41" s="16">
        <v>0.11</v>
      </c>
      <c r="N41" s="16">
        <v>0.12</v>
      </c>
      <c r="O41" s="16">
        <v>0.11962930877684128</v>
      </c>
      <c r="P41" s="16">
        <v>0.1187325398197025</v>
      </c>
      <c r="Q41" s="112">
        <v>0.46836184859654378</v>
      </c>
      <c r="R41" s="16">
        <v>0.11827421188943028</v>
      </c>
      <c r="S41" s="16">
        <v>0.12633735174169153</v>
      </c>
      <c r="T41" s="16">
        <v>0.17483887817629801</v>
      </c>
      <c r="U41" s="16">
        <v>0.13127592540892169</v>
      </c>
      <c r="V41" s="112">
        <v>0.55072636721634149</v>
      </c>
      <c r="W41" s="16">
        <v>0.12273857745174155</v>
      </c>
      <c r="X41" s="16">
        <f>X37/X46</f>
        <v>0.13349544345999792</v>
      </c>
      <c r="Y41" s="16">
        <f>Y37/Y46</f>
        <v>0.11532988263399127</v>
      </c>
      <c r="Z41" s="16">
        <f>Z37/Z46</f>
        <v>0.13324071226209125</v>
      </c>
      <c r="AA41" s="112">
        <f>SUM(W41:Z41)+0.01</f>
        <v>0.514804615807822</v>
      </c>
      <c r="AB41" s="16">
        <f t="shared" ref="AB41:BJ41" si="29">AB37/AB46</f>
        <v>0.12673252883462133</v>
      </c>
      <c r="AC41" s="16">
        <f t="shared" si="29"/>
        <v>0.13369917082638566</v>
      </c>
      <c r="AD41" s="16">
        <f t="shared" si="29"/>
        <v>0.14744272475302853</v>
      </c>
      <c r="AE41" s="16">
        <f t="shared" si="29"/>
        <v>0.13895491910194632</v>
      </c>
      <c r="AF41" s="112">
        <f t="shared" si="29"/>
        <v>0.54652313623941529</v>
      </c>
      <c r="AG41" s="16">
        <f t="shared" si="29"/>
        <v>0.13140917500640276</v>
      </c>
      <c r="AH41" s="16">
        <f t="shared" si="29"/>
        <v>0.15368460979563711</v>
      </c>
      <c r="AI41" s="16">
        <f t="shared" si="29"/>
        <v>0.1658586779222597</v>
      </c>
      <c r="AJ41" s="16">
        <f t="shared" si="29"/>
        <v>0.16393119364224309</v>
      </c>
      <c r="AK41" s="112">
        <f t="shared" si="29"/>
        <v>0.61471758580096025</v>
      </c>
      <c r="AL41" s="16">
        <f t="shared" si="29"/>
        <v>0.16551812273737063</v>
      </c>
      <c r="AM41" s="16">
        <f t="shared" si="29"/>
        <v>0.17376694764153092</v>
      </c>
      <c r="AN41" s="16">
        <f t="shared" si="29"/>
        <v>0.18433294293124342</v>
      </c>
      <c r="AO41" s="16">
        <f t="shared" si="29"/>
        <v>0.17905652557499618</v>
      </c>
      <c r="AP41" s="112">
        <f t="shared" si="29"/>
        <v>0.70237817860065399</v>
      </c>
      <c r="AQ41" s="16">
        <f t="shared" si="29"/>
        <v>0.16406746397102914</v>
      </c>
      <c r="AR41" s="16">
        <f t="shared" si="29"/>
        <v>0.1781024657901373</v>
      </c>
      <c r="AS41" s="16">
        <f t="shared" si="29"/>
        <v>0.19066118084877456</v>
      </c>
      <c r="AT41" s="16">
        <f t="shared" si="29"/>
        <v>0.17929631577838334</v>
      </c>
      <c r="AU41" s="112">
        <f t="shared" si="29"/>
        <v>0.71184131697358499</v>
      </c>
      <c r="AV41" s="16">
        <f t="shared" si="29"/>
        <v>0.17478600991657456</v>
      </c>
      <c r="AW41" s="16">
        <f t="shared" si="29"/>
        <v>0.1812774999174282</v>
      </c>
      <c r="AX41" s="16">
        <f t="shared" si="29"/>
        <v>0.17690077908761104</v>
      </c>
      <c r="AY41" s="16">
        <f t="shared" si="29"/>
        <v>0.23111891346260599</v>
      </c>
      <c r="AZ41" s="112">
        <f t="shared" si="29"/>
        <v>0.76411198819991055</v>
      </c>
      <c r="BA41" s="16">
        <f t="shared" si="29"/>
        <v>0.18394062511180478</v>
      </c>
      <c r="BB41" s="16">
        <f t="shared" si="29"/>
        <v>0.18720465736738207</v>
      </c>
      <c r="BC41" s="16">
        <f t="shared" si="29"/>
        <v>0.19366331774422629</v>
      </c>
      <c r="BD41" s="16">
        <f t="shared" si="29"/>
        <v>0.19583107103181935</v>
      </c>
      <c r="BE41" s="112">
        <f t="shared" si="29"/>
        <v>0.76058792631685435</v>
      </c>
      <c r="BF41" s="16">
        <f t="shared" si="29"/>
        <v>0.19491641584618286</v>
      </c>
      <c r="BG41" s="16">
        <f t="shared" si="29"/>
        <v>0.20210460617504036</v>
      </c>
      <c r="BH41" s="16">
        <f t="shared" si="29"/>
        <v>0.18123168098583839</v>
      </c>
      <c r="BI41" s="16">
        <f t="shared" si="29"/>
        <v>0.22679209544911214</v>
      </c>
      <c r="BJ41" s="112">
        <f t="shared" si="29"/>
        <v>0.80410510232021659</v>
      </c>
      <c r="BK41" s="16">
        <f>$BK$37/BK46</f>
        <v>0.20207863377706115</v>
      </c>
      <c r="BL41" s="16">
        <f>$BL$37/BL46</f>
        <v>0.20151310960084728</v>
      </c>
      <c r="BO41" s="112">
        <f>$BO$37/BO46</f>
        <v>0.40378382462535534</v>
      </c>
    </row>
    <row r="42" spans="2:67">
      <c r="B42" s="3"/>
      <c r="G42" s="112"/>
      <c r="K42" s="21"/>
      <c r="L42" s="112"/>
      <c r="Q42" s="112"/>
      <c r="V42" s="112"/>
      <c r="AA42" s="112"/>
      <c r="AF42" s="112"/>
      <c r="AK42" s="112"/>
      <c r="AP42" s="112"/>
      <c r="AU42" s="112"/>
      <c r="AZ42" s="112"/>
      <c r="BE42" s="112"/>
      <c r="BJ42" s="112"/>
      <c r="BO42" s="112"/>
    </row>
    <row r="43" spans="2:67" s="39" customFormat="1">
      <c r="B43" s="2" t="s">
        <v>236</v>
      </c>
      <c r="F43" s="40"/>
      <c r="G43" s="43"/>
      <c r="K43" s="40"/>
      <c r="L43" s="43"/>
      <c r="P43" s="40"/>
      <c r="Q43" s="43"/>
      <c r="V43" s="43"/>
      <c r="AA43" s="43"/>
      <c r="AF43" s="43"/>
      <c r="AK43" s="43"/>
      <c r="AP43" s="43"/>
      <c r="AU43" s="43"/>
      <c r="AZ43" s="43"/>
      <c r="BE43" s="43"/>
      <c r="BJ43" s="43"/>
      <c r="BO43" s="43"/>
    </row>
    <row r="44" spans="2:67">
      <c r="B44" s="3"/>
      <c r="F44" s="21"/>
      <c r="G44" s="20"/>
      <c r="K44" s="21"/>
      <c r="L44" s="20"/>
      <c r="P44" s="21"/>
      <c r="Q44" s="20"/>
      <c r="V44" s="20"/>
      <c r="AA44" s="20"/>
      <c r="AF44" s="20"/>
      <c r="AK44" s="20"/>
      <c r="AP44" s="20"/>
      <c r="AU44" s="20"/>
      <c r="AZ44" s="20"/>
      <c r="BE44" s="20"/>
      <c r="BJ44" s="20"/>
      <c r="BO44" s="20"/>
    </row>
    <row r="45" spans="2:67" s="115" customFormat="1">
      <c r="B45" s="113" t="s">
        <v>95</v>
      </c>
      <c r="C45" s="114">
        <f>(1142.805*2)*2</f>
        <v>4571.22</v>
      </c>
      <c r="D45" s="114">
        <f>(1142.805*2)*2</f>
        <v>4571.22</v>
      </c>
      <c r="E45" s="114">
        <f>(1142.805*2)*2</f>
        <v>4571.22</v>
      </c>
      <c r="F45" s="114">
        <f>(1142.805*2)*2</f>
        <v>4571.22</v>
      </c>
      <c r="G45" s="71">
        <f>(1142.805*2)*2</f>
        <v>4571.22</v>
      </c>
      <c r="H45" s="114">
        <v>4571.22</v>
      </c>
      <c r="I45" s="114">
        <v>4571.2280000000001</v>
      </c>
      <c r="J45" s="114">
        <v>4571.2380000000003</v>
      </c>
      <c r="K45" s="114">
        <v>4571.2420000000002</v>
      </c>
      <c r="L45" s="71">
        <v>4571.232</v>
      </c>
      <c r="M45" s="114">
        <v>4571.2439999999997</v>
      </c>
      <c r="N45" s="114">
        <v>4571.28</v>
      </c>
      <c r="O45" s="142">
        <f>(2285651730/1000000)*2</f>
        <v>4571.3034600000001</v>
      </c>
      <c r="P45" s="142">
        <f>(2285654881/1000000)*2</f>
        <v>4571.3097619999999</v>
      </c>
      <c r="Q45" s="71">
        <f>(2285639447/1000000)*2</f>
        <v>4571.278894</v>
      </c>
      <c r="R45" s="233">
        <f>(2285657604/1000000)*2</f>
        <v>4571.315208</v>
      </c>
      <c r="S45" s="233">
        <f>(2285865361/10^6)*2</f>
        <v>4571.7307220000002</v>
      </c>
      <c r="T45" s="233">
        <f>(2275074804/10^6)*2</f>
        <v>4550.1496079999997</v>
      </c>
      <c r="U45" s="233">
        <f>(2173277060/10^6)*2</f>
        <v>4346.5541199999998</v>
      </c>
      <c r="V45" s="71">
        <f>(2255332322/10^6)*2</f>
        <v>4510.6646440000004</v>
      </c>
      <c r="W45" s="233">
        <f>(2173328621/10^6)*2</f>
        <v>4346.6572420000002</v>
      </c>
      <c r="X45" s="233">
        <f>4347055177/10^6</f>
        <v>4347.0551770000002</v>
      </c>
      <c r="Y45" s="233">
        <f>4347673466/10^6</f>
        <v>4347.6734660000002</v>
      </c>
      <c r="Z45" s="233">
        <f>4347129592/10^6</f>
        <v>4347.1295920000002</v>
      </c>
      <c r="AA45" s="71">
        <f>4347130157/10^6</f>
        <v>4347.1301569999996</v>
      </c>
      <c r="AB45" s="233">
        <f>(4302176860/10^6)</f>
        <v>4302.1768599999996</v>
      </c>
      <c r="AC45" s="233">
        <f>(4249343678/10^6)</f>
        <v>4249.3436780000002</v>
      </c>
      <c r="AD45" s="233">
        <v>4239.6075430000001</v>
      </c>
      <c r="AE45" s="235">
        <f>4240181854/10^6</f>
        <v>4240.1818540000004</v>
      </c>
      <c r="AF45" s="71">
        <f>4257754522/10^6</f>
        <v>4257.7545220000002</v>
      </c>
      <c r="AG45" s="233">
        <f>4241101049/10^6</f>
        <v>4241.1010489999999</v>
      </c>
      <c r="AH45" s="233">
        <f>4241908471/10^6</f>
        <v>4241.9084709999997</v>
      </c>
      <c r="AI45" s="233">
        <f>4242867494/10^6</f>
        <v>4242.8674940000001</v>
      </c>
      <c r="AJ45" s="235">
        <f>4243805540/10^6</f>
        <v>4243.8055400000003</v>
      </c>
      <c r="AK45" s="71">
        <f>4242416665/10^6</f>
        <v>4242.4166649999997</v>
      </c>
      <c r="AL45" s="233">
        <f>4245516974/10^6</f>
        <v>4245.5169740000001</v>
      </c>
      <c r="AM45" s="233">
        <f>4210064823/10^6</f>
        <v>4210.0648229999997</v>
      </c>
      <c r="AN45" s="233">
        <f>4190865711/10^6</f>
        <v>4190.8657110000004</v>
      </c>
      <c r="AO45" s="235">
        <f>4191743339/10^6</f>
        <v>4191.7433389999997</v>
      </c>
      <c r="AP45" s="71">
        <f>4209546724/10^6</f>
        <v>4209.5467239999998</v>
      </c>
      <c r="AQ45" s="233">
        <f>4193747652.98901/10^6</f>
        <v>4193.74765298901</v>
      </c>
      <c r="AR45" s="233">
        <f>4194617942/10^6</f>
        <v>4194.6179419999999</v>
      </c>
      <c r="AS45" s="233">
        <f>4190550470/10^6</f>
        <v>4190.5504700000001</v>
      </c>
      <c r="AT45" s="233">
        <f>4144013195/10^6</f>
        <v>4144.0131950000005</v>
      </c>
      <c r="AU45" s="71">
        <f>4180897857/10^6</f>
        <v>4180.8978569999999</v>
      </c>
      <c r="AV45" s="233">
        <f>4137234750/10^6</f>
        <v>4137.2347499999996</v>
      </c>
      <c r="AW45" s="235">
        <f>4138636582/10^6</f>
        <v>4138.6365820000001</v>
      </c>
      <c r="AX45" s="235">
        <f>4138963794/10^6</f>
        <v>4138.9637940000002</v>
      </c>
      <c r="AY45" s="233">
        <f>4139432133/10^6</f>
        <v>4139.4321330000002</v>
      </c>
      <c r="AZ45" s="71">
        <f>4138568090/10^6</f>
        <v>4138.5680899999998</v>
      </c>
      <c r="BA45" s="233">
        <f>4140272627/10^6</f>
        <v>4140.2726270000003</v>
      </c>
      <c r="BB45" s="233">
        <f>4141806535/10^6</f>
        <v>4141.8065349999997</v>
      </c>
      <c r="BC45" s="233">
        <f>4141941436/10^6</f>
        <v>4141.9414360000001</v>
      </c>
      <c r="BD45" s="233">
        <f>4142429577/10^6</f>
        <v>4142.4295769999999</v>
      </c>
      <c r="BE45" s="71">
        <f>4141611738/10^6</f>
        <v>4141.6117379999996</v>
      </c>
      <c r="BF45" s="233">
        <f>4143971592/10^6</f>
        <v>4143.9715919999999</v>
      </c>
      <c r="BG45" s="233">
        <f>4145208267/10^6</f>
        <v>4145.208267</v>
      </c>
      <c r="BH45" s="233">
        <f>4114946425/10^6</f>
        <v>4114.9464250000001</v>
      </c>
      <c r="BI45" s="233">
        <v>4046.0193089999998</v>
      </c>
      <c r="BJ45" s="71">
        <v>4112.8147449999997</v>
      </c>
      <c r="BK45" s="233">
        <v>4047.6927009999999</v>
      </c>
      <c r="BL45" s="233">
        <v>4049.9878269999999</v>
      </c>
      <c r="BM45" s="233"/>
      <c r="BN45" s="233"/>
      <c r="BO45" s="71">
        <v>4048.8465350000001</v>
      </c>
    </row>
    <row r="46" spans="2:67" s="115" customFormat="1">
      <c r="B46" s="116" t="s">
        <v>96</v>
      </c>
      <c r="C46" s="117">
        <f>(1142.805*2)*2</f>
        <v>4571.22</v>
      </c>
      <c r="D46" s="117">
        <f>(1142.812*2)*2</f>
        <v>4571.2479999999996</v>
      </c>
      <c r="E46" s="117">
        <f>(1142.827*2)*2</f>
        <v>4571.308</v>
      </c>
      <c r="F46" s="117">
        <f>(1142.833*2)*2</f>
        <v>4571.3320000000003</v>
      </c>
      <c r="G46" s="118">
        <f>(1142.821*2)*2</f>
        <v>4571.2839999999997</v>
      </c>
      <c r="H46" s="117">
        <v>4571.34</v>
      </c>
      <c r="I46" s="117">
        <v>4571.4260000000004</v>
      </c>
      <c r="J46" s="117">
        <v>4571.4639999999999</v>
      </c>
      <c r="K46" s="117">
        <v>4571.5</v>
      </c>
      <c r="L46" s="118">
        <v>4571.4380000000001</v>
      </c>
      <c r="M46" s="117">
        <v>4571.5360000000001</v>
      </c>
      <c r="N46" s="117">
        <v>4571.88</v>
      </c>
      <c r="O46" s="144">
        <f>(2286229042/1000000)*2</f>
        <v>4572.4580839999999</v>
      </c>
      <c r="P46" s="144">
        <f>(2286652003/1000000)*2</f>
        <v>4573.3040060000003</v>
      </c>
      <c r="Q46" s="118">
        <f>(2286396745/1000000)*2</f>
        <v>4572.79349</v>
      </c>
      <c r="R46" s="234">
        <f>(2287058148/1000000)*2</f>
        <v>4574.1162960000001</v>
      </c>
      <c r="S46" s="234">
        <f>(2287526183/10^6)*2</f>
        <v>4575.0523659999999</v>
      </c>
      <c r="T46" s="234">
        <f>(2276381570/10^6)*2</f>
        <v>4552.76314</v>
      </c>
      <c r="U46" s="234">
        <f>(2174808512/10^6)*2</f>
        <v>4349.6170240000001</v>
      </c>
      <c r="V46" s="118">
        <f>(2257573870/10^6)*2</f>
        <v>4515.1477400000003</v>
      </c>
      <c r="W46" s="234">
        <f>(2175355178/10^6)*2</f>
        <v>4350.7103559999996</v>
      </c>
      <c r="X46" s="234">
        <f>4352208472/10^6</f>
        <v>4352.2084720000003</v>
      </c>
      <c r="Y46" s="234">
        <f>4352731387/10^6</f>
        <v>4352.7313869999998</v>
      </c>
      <c r="Z46" s="234">
        <f>4353023863/10^6</f>
        <v>4353.0238630000003</v>
      </c>
      <c r="AA46" s="118">
        <f>4353420772/10^6</f>
        <v>4353.4207720000004</v>
      </c>
      <c r="AB46" s="234">
        <f>(4308286160/10^6)</f>
        <v>4308.2861599999997</v>
      </c>
      <c r="AC46" s="234">
        <f>(4255822953/10^6)</f>
        <v>4255.8229529999999</v>
      </c>
      <c r="AD46" s="234">
        <v>4245.716437</v>
      </c>
      <c r="AE46" s="236">
        <f>4245981386/10^6</f>
        <v>4245.9813860000004</v>
      </c>
      <c r="AF46" s="118">
        <f>4265144228/10^6</f>
        <v>4265.1442280000001</v>
      </c>
      <c r="AG46" s="234">
        <f>4246278846/10^6</f>
        <v>4246.2788460000002</v>
      </c>
      <c r="AH46" s="234">
        <f>4248961564/10^6</f>
        <v>4248.9615640000002</v>
      </c>
      <c r="AI46" s="234">
        <f>4250606654/10^6</f>
        <v>4250.6066540000002</v>
      </c>
      <c r="AJ46" s="236">
        <f>4251783840/10^6</f>
        <v>4251.7838400000001</v>
      </c>
      <c r="AK46" s="118">
        <f>4250732467/10^6</f>
        <v>4250.7324669999998</v>
      </c>
      <c r="AL46" s="234">
        <f>4253310685/10^6</f>
        <v>4253.3106850000004</v>
      </c>
      <c r="AM46" s="234">
        <f>4218293582/10^6</f>
        <v>4218.2935820000002</v>
      </c>
      <c r="AN46" s="234">
        <f>4198923902/10^6</f>
        <v>4198.9239020000005</v>
      </c>
      <c r="AO46" s="236">
        <f>4199791086/10^6</f>
        <v>4199.7910860000002</v>
      </c>
      <c r="AP46" s="118">
        <f>4218525134/10^6</f>
        <v>4218.5251340000004</v>
      </c>
      <c r="AQ46" s="234">
        <f>4199491985.33149/10^6</f>
        <v>4199.4919853314905</v>
      </c>
      <c r="AR46" s="234">
        <f>4199829557/10^6</f>
        <v>4199.829557</v>
      </c>
      <c r="AS46" s="234">
        <f>4195924920/10^6</f>
        <v>4195.9249200000004</v>
      </c>
      <c r="AT46" s="234">
        <f>4149555426/10^6</f>
        <v>4149.5554259999999</v>
      </c>
      <c r="AU46" s="118">
        <f>4187731070/10^6</f>
        <v>4187.7310699999998</v>
      </c>
      <c r="AV46" s="234">
        <f>4142207951/10^6</f>
        <v>4142.2079510000003</v>
      </c>
      <c r="AW46" s="236">
        <f>4142819712/10^6</f>
        <v>4142.8197120000004</v>
      </c>
      <c r="AX46" s="236">
        <f>4143565697/10^6</f>
        <v>4143.565697</v>
      </c>
      <c r="AY46" s="234">
        <f>4145052370/10^6</f>
        <v>4145.0523700000003</v>
      </c>
      <c r="AZ46" s="118">
        <f>4144680425/10^6</f>
        <v>4144.6804249999996</v>
      </c>
      <c r="BA46" s="234">
        <f>4148077672/10^6</f>
        <v>4148.0776720000003</v>
      </c>
      <c r="BB46" s="234">
        <f>4150537764/10^6</f>
        <v>4150.5377639999997</v>
      </c>
      <c r="BC46" s="234">
        <f>4151534784/10^6</f>
        <v>4151.5347840000004</v>
      </c>
      <c r="BD46" s="234">
        <f>4151537321/10^6</f>
        <v>4151.5373209999998</v>
      </c>
      <c r="BE46" s="118">
        <f>4152051184/10^6</f>
        <v>4152.0511839999999</v>
      </c>
      <c r="BF46" s="234">
        <f>4150497004/10^6</f>
        <v>4150.4970039999998</v>
      </c>
      <c r="BG46" s="234">
        <f>4151315578/10^6</f>
        <v>4151.3155779999997</v>
      </c>
      <c r="BH46" s="234">
        <f>4121795902/10^6</f>
        <v>4121.7959019999998</v>
      </c>
      <c r="BI46" s="234">
        <v>4052.1694470000002</v>
      </c>
      <c r="BJ46" s="118">
        <v>4120.1081679999998</v>
      </c>
      <c r="BK46" s="234">
        <v>4052.8777570000002</v>
      </c>
      <c r="BL46" s="234">
        <v>4054.3267959999998</v>
      </c>
      <c r="BM46" s="234"/>
      <c r="BN46" s="234"/>
      <c r="BO46" s="118">
        <v>4054.149523</v>
      </c>
    </row>
    <row r="47" spans="2:67" s="119" customFormat="1">
      <c r="C47" s="101"/>
      <c r="D47" s="101"/>
      <c r="E47" s="101"/>
      <c r="F47" s="101"/>
      <c r="G47" s="101"/>
      <c r="H47" s="101"/>
      <c r="I47" s="101"/>
      <c r="J47" s="101"/>
      <c r="K47" s="101"/>
      <c r="L47" s="101"/>
      <c r="M47" s="101"/>
      <c r="N47" s="101"/>
      <c r="O47" s="101"/>
      <c r="P47" s="101"/>
      <c r="Q47" s="101"/>
      <c r="V47" s="101"/>
      <c r="AA47" s="101"/>
      <c r="AF47" s="101"/>
      <c r="AK47" s="101"/>
      <c r="AP47" s="101"/>
      <c r="AU47" s="101"/>
      <c r="AZ47" s="101"/>
      <c r="BE47" s="101"/>
      <c r="BJ47" s="101"/>
      <c r="BO47" s="101"/>
    </row>
    <row r="48" spans="2:67" s="119" customFormat="1">
      <c r="B48" s="148" t="s">
        <v>101</v>
      </c>
      <c r="C48" s="101"/>
      <c r="D48" s="101"/>
      <c r="E48" s="101"/>
      <c r="F48" s="101"/>
      <c r="G48" s="101"/>
      <c r="H48" s="101"/>
      <c r="I48" s="101"/>
      <c r="J48" s="101"/>
      <c r="K48" s="101"/>
      <c r="L48" s="101"/>
      <c r="M48" s="101"/>
      <c r="N48" s="101"/>
      <c r="O48" s="101"/>
      <c r="P48" s="101"/>
      <c r="Q48" s="101"/>
      <c r="V48" s="101"/>
      <c r="AA48" s="101"/>
      <c r="AF48" s="101"/>
      <c r="AK48" s="101"/>
      <c r="AP48" s="101"/>
      <c r="AU48" s="101"/>
      <c r="AZ48" s="101"/>
      <c r="BE48" s="101"/>
      <c r="BJ48" s="101"/>
      <c r="BO48" s="101"/>
    </row>
    <row r="49" spans="2:67" s="119" customFormat="1">
      <c r="B49" s="39" t="s">
        <v>102</v>
      </c>
      <c r="C49" s="101"/>
      <c r="D49" s="101"/>
      <c r="E49" s="101"/>
      <c r="F49" s="101"/>
      <c r="G49" s="101"/>
      <c r="H49" s="101"/>
      <c r="I49" s="101"/>
      <c r="J49" s="101"/>
      <c r="K49" s="101"/>
      <c r="L49" s="101"/>
      <c r="M49" s="101"/>
      <c r="N49" s="101"/>
      <c r="O49" s="101"/>
      <c r="P49" s="101"/>
      <c r="Q49" s="101"/>
      <c r="V49" s="101"/>
      <c r="AA49" s="101"/>
      <c r="AF49" s="101"/>
      <c r="AK49" s="101"/>
      <c r="AP49" s="101"/>
      <c r="AU49" s="101"/>
      <c r="AZ49" s="101"/>
      <c r="BE49" s="101"/>
      <c r="BJ49" s="101"/>
      <c r="BO49" s="101"/>
    </row>
    <row r="50" spans="2:67">
      <c r="B50" s="39" t="s">
        <v>237</v>
      </c>
      <c r="Q50" s="101"/>
      <c r="V50" s="101"/>
      <c r="AA50" s="101"/>
      <c r="AF50" s="101"/>
      <c r="AK50" s="101"/>
      <c r="AP50" s="101"/>
      <c r="AU50" s="101"/>
      <c r="AZ50" s="101"/>
      <c r="BE50" s="101"/>
      <c r="BJ50" s="101"/>
      <c r="BO50" s="101"/>
    </row>
    <row r="51" spans="2:67">
      <c r="B51" s="39"/>
    </row>
  </sheetData>
  <hyperlinks>
    <hyperlink ref="B1" location="Index!A1" display="Index" xr:uid="{CE20E8B3-27B4-4C4E-96B9-E26D6FDB4859}"/>
  </hyperlinks>
  <pageMargins left="0.28999999999999998" right="0.25" top="1" bottom="0.47" header="0.5" footer="0.5"/>
  <pageSetup paperSize="9" scale="64" orientation="portrait" r:id="rId1"/>
  <headerFooter alignWithMargins="0"/>
  <rowBreaks count="1" manualBreakCount="1">
    <brk id="49" min="1" max="66" man="1"/>
  </rowBreaks>
  <customProperties>
    <customPr name="_pios_id" r:id="rId2"/>
    <customPr name="EpmWorksheetKeyString_GUID" r:id="rId3"/>
  </customProperties>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1AD8-80AF-47A6-9089-ADA00B291EAE}">
  <sheetPr codeName="Sheet6">
    <pageSetUpPr fitToPage="1"/>
  </sheetPr>
  <dimension ref="A1:BP76"/>
  <sheetViews>
    <sheetView showGridLines="0" zoomScaleNormal="100" workbookViewId="0">
      <pane xSplit="3" ySplit="5" topLeftCell="BK6" activePane="bottomRight" state="frozen"/>
      <selection pane="topRight" activeCell="BT1" sqref="BT1"/>
      <selection pane="bottomLeft" activeCell="BT1" sqref="BT1"/>
      <selection pane="bottomRight" activeCell="C1" sqref="C1"/>
    </sheetView>
  </sheetViews>
  <sheetFormatPr defaultColWidth="9.1796875" defaultRowHeight="12" outlineLevelCol="2"/>
  <cols>
    <col min="1" max="1" width="8.81640625" style="16" hidden="1" customWidth="1"/>
    <col min="2" max="2" width="1.453125" style="16" customWidth="1"/>
    <col min="3" max="3" width="50.81640625" style="16" customWidth="1"/>
    <col min="4" max="7" width="9.81640625" style="16" customWidth="1" outlineLevel="2"/>
    <col min="8" max="8" width="9.81640625" style="16" customWidth="1" outlineLevel="1"/>
    <col min="9" max="12" width="9.81640625" style="16" customWidth="1" outlineLevel="2"/>
    <col min="13" max="13" width="9.81640625" style="16" customWidth="1" outlineLevel="1"/>
    <col min="14" max="17" width="9.81640625" style="16" customWidth="1" outlineLevel="2"/>
    <col min="18" max="18" width="9.81640625" style="16" customWidth="1" outlineLevel="1"/>
    <col min="19" max="22" width="9.81640625" style="16" customWidth="1" outlineLevel="2"/>
    <col min="23" max="23" width="9.81640625" style="16" customWidth="1" outlineLevel="1"/>
    <col min="24" max="27" width="9.81640625" style="16" customWidth="1" outlineLevel="2"/>
    <col min="28" max="28" width="9.81640625" style="16" customWidth="1" outlineLevel="1"/>
    <col min="29" max="32" width="9.81640625" style="16" customWidth="1" outlineLevel="2"/>
    <col min="33" max="37" width="9.81640625" style="16" customWidth="1" outlineLevel="1"/>
    <col min="38" max="38" width="9.81640625" style="16" customWidth="1"/>
    <col min="39" max="42" width="9.81640625" style="16" customWidth="1" outlineLevel="1"/>
    <col min="43" max="43" width="9.81640625" style="16" customWidth="1"/>
    <col min="44" max="47" width="9.81640625" style="16" customWidth="1" outlineLevel="1"/>
    <col min="48" max="48" width="9.81640625" style="16" customWidth="1"/>
    <col min="49" max="52" width="9.81640625" style="16" customWidth="1" outlineLevel="1"/>
    <col min="53" max="53" width="9.81640625" style="16" customWidth="1"/>
    <col min="54" max="57" width="9.81640625" style="16" customWidth="1" outlineLevel="1"/>
    <col min="58" max="58" width="9.81640625" style="16" customWidth="1"/>
    <col min="59" max="62" width="9.81640625" style="16" hidden="1" customWidth="1" outlineLevel="1"/>
    <col min="63" max="63" width="10.54296875" style="16" customWidth="1" collapsed="1"/>
    <col min="64" max="67" width="9.81640625" style="16" customWidth="1" outlineLevel="1"/>
    <col min="68" max="68" width="10.54296875" style="16" customWidth="1"/>
    <col min="69" max="16384" width="9.1796875" style="16"/>
  </cols>
  <sheetData>
    <row r="1" spans="3:68">
      <c r="C1" s="398" t="s">
        <v>8</v>
      </c>
      <c r="D1" s="17"/>
      <c r="E1" s="101"/>
      <c r="F1" s="101"/>
      <c r="G1" s="101"/>
      <c r="I1" s="101"/>
      <c r="J1" s="101"/>
      <c r="K1" s="101"/>
      <c r="L1" s="101"/>
      <c r="N1" s="101"/>
      <c r="O1" s="101"/>
      <c r="P1" s="101"/>
      <c r="Q1" s="101"/>
      <c r="S1" s="101"/>
      <c r="T1" s="101"/>
      <c r="U1" s="101"/>
      <c r="V1" s="101"/>
      <c r="X1" s="101"/>
      <c r="Y1" s="101"/>
      <c r="Z1" s="101"/>
      <c r="AA1" s="101"/>
      <c r="AC1" s="101"/>
      <c r="AD1" s="101"/>
      <c r="AE1" s="101"/>
      <c r="AF1" s="101"/>
      <c r="AH1" s="101"/>
      <c r="AI1" s="101"/>
      <c r="AJ1" s="101"/>
      <c r="AK1" s="101"/>
      <c r="AM1" s="101"/>
      <c r="AN1" s="101"/>
      <c r="AO1" s="101"/>
      <c r="AP1" s="101"/>
      <c r="AR1" s="101"/>
      <c r="AS1" s="101"/>
      <c r="AT1" s="101"/>
      <c r="AU1" s="101"/>
      <c r="AW1" s="101"/>
      <c r="AX1" s="101"/>
      <c r="AY1" s="101"/>
      <c r="AZ1" s="101"/>
      <c r="BB1" s="101"/>
      <c r="BC1" s="101"/>
      <c r="BD1" s="101"/>
      <c r="BE1" s="101"/>
      <c r="BG1" s="101"/>
      <c r="BH1" s="101"/>
      <c r="BI1" s="101"/>
      <c r="BJ1" s="101"/>
      <c r="BL1" s="101"/>
      <c r="BM1" s="101"/>
      <c r="BN1" s="101"/>
      <c r="BO1" s="101"/>
    </row>
    <row r="2" spans="3:68" s="119" customFormat="1">
      <c r="D2" s="101"/>
      <c r="E2" s="101"/>
      <c r="F2" s="101"/>
      <c r="G2" s="101"/>
      <c r="H2" s="101"/>
      <c r="I2" s="101"/>
      <c r="L2" s="101"/>
      <c r="M2" s="101"/>
      <c r="N2" s="101"/>
      <c r="Q2" s="101"/>
      <c r="R2" s="101"/>
      <c r="W2" s="101"/>
      <c r="AB2" s="101"/>
      <c r="AG2" s="101"/>
      <c r="AL2" s="101"/>
      <c r="AQ2" s="101"/>
      <c r="AV2" s="101"/>
      <c r="BA2" s="101"/>
      <c r="BF2" s="101"/>
      <c r="BK2" s="101"/>
      <c r="BP2" s="101"/>
    </row>
    <row r="3" spans="3:68" ht="15.5">
      <c r="C3" s="395" t="s">
        <v>9</v>
      </c>
    </row>
    <row r="4" spans="3:68" ht="15.5">
      <c r="C4" s="395" t="s">
        <v>104</v>
      </c>
      <c r="D4" s="107"/>
      <c r="E4" s="107"/>
      <c r="F4" s="107"/>
      <c r="G4" s="107"/>
      <c r="H4" s="101"/>
      <c r="I4" s="107"/>
      <c r="J4" s="107"/>
      <c r="K4" s="107"/>
      <c r="L4" s="107"/>
      <c r="M4" s="101"/>
      <c r="N4" s="107"/>
      <c r="O4" s="107"/>
      <c r="P4" s="107"/>
      <c r="Q4" s="107"/>
      <c r="R4" s="101"/>
      <c r="S4" s="107"/>
      <c r="T4" s="107"/>
      <c r="U4" s="107"/>
      <c r="V4" s="107"/>
      <c r="W4" s="101"/>
      <c r="X4" s="107"/>
      <c r="Y4" s="107"/>
      <c r="Z4" s="107"/>
      <c r="AA4" s="107"/>
      <c r="AB4" s="101"/>
      <c r="AC4" s="107"/>
      <c r="AD4" s="107"/>
      <c r="AE4" s="107"/>
      <c r="AF4" s="107"/>
      <c r="AG4" s="101"/>
      <c r="AH4" s="107"/>
      <c r="AI4" s="107"/>
      <c r="AJ4" s="107"/>
      <c r="AK4" s="107"/>
      <c r="AL4" s="101"/>
      <c r="AM4" s="107"/>
      <c r="AN4" s="107"/>
      <c r="AO4" s="107"/>
      <c r="AP4" s="107"/>
      <c r="AQ4" s="101"/>
      <c r="AR4" s="107"/>
      <c r="AS4" s="107"/>
      <c r="AT4" s="107"/>
      <c r="AU4" s="107"/>
      <c r="AV4" s="101"/>
      <c r="AW4" s="107"/>
      <c r="AX4" s="107"/>
      <c r="AY4" s="107"/>
      <c r="AZ4" s="107"/>
      <c r="BA4" s="101"/>
      <c r="BB4" s="107"/>
      <c r="BC4" s="107"/>
      <c r="BD4" s="107"/>
      <c r="BE4" s="107"/>
      <c r="BF4" s="101"/>
      <c r="BG4" s="107"/>
      <c r="BH4" s="107"/>
      <c r="BI4" s="107"/>
      <c r="BJ4" s="107"/>
      <c r="BK4" s="101"/>
      <c r="BL4" s="107"/>
      <c r="BM4" s="107"/>
      <c r="BN4" s="107"/>
      <c r="BO4" s="107"/>
      <c r="BP4" s="101"/>
    </row>
    <row r="5" spans="3:68" s="191" customFormat="1">
      <c r="C5" s="186" t="s">
        <v>238</v>
      </c>
      <c r="D5" s="196" t="s">
        <v>12</v>
      </c>
      <c r="E5" s="196" t="s">
        <v>13</v>
      </c>
      <c r="F5" s="196" t="s">
        <v>14</v>
      </c>
      <c r="G5" s="196" t="s">
        <v>15</v>
      </c>
      <c r="H5" s="197" t="s">
        <v>16</v>
      </c>
      <c r="I5" s="196" t="s">
        <v>17</v>
      </c>
      <c r="J5" s="196" t="s">
        <v>18</v>
      </c>
      <c r="K5" s="196" t="s">
        <v>19</v>
      </c>
      <c r="L5" s="196" t="s">
        <v>20</v>
      </c>
      <c r="M5" s="197" t="s">
        <v>21</v>
      </c>
      <c r="N5" s="196" t="s">
        <v>22</v>
      </c>
      <c r="O5" s="196" t="s">
        <v>23</v>
      </c>
      <c r="P5" s="196" t="s">
        <v>24</v>
      </c>
      <c r="Q5" s="196" t="s">
        <v>25</v>
      </c>
      <c r="R5" s="197" t="s">
        <v>165</v>
      </c>
      <c r="S5" s="196" t="s">
        <v>27</v>
      </c>
      <c r="T5" s="196" t="s">
        <v>28</v>
      </c>
      <c r="U5" s="196" t="s">
        <v>29</v>
      </c>
      <c r="V5" s="196" t="s">
        <v>30</v>
      </c>
      <c r="W5" s="197" t="s">
        <v>31</v>
      </c>
      <c r="X5" s="196" t="s">
        <v>32</v>
      </c>
      <c r="Y5" s="196" t="s">
        <v>33</v>
      </c>
      <c r="Z5" s="196" t="s">
        <v>34</v>
      </c>
      <c r="AA5" s="196" t="s">
        <v>35</v>
      </c>
      <c r="AB5" s="197" t="s">
        <v>36</v>
      </c>
      <c r="AC5" s="187" t="s">
        <v>37</v>
      </c>
      <c r="AD5" s="187" t="s">
        <v>38</v>
      </c>
      <c r="AE5" s="187" t="s">
        <v>39</v>
      </c>
      <c r="AF5" s="187" t="s">
        <v>40</v>
      </c>
      <c r="AG5" s="188" t="s">
        <v>167</v>
      </c>
      <c r="AH5" s="187" t="s">
        <v>42</v>
      </c>
      <c r="AI5" s="187" t="s">
        <v>43</v>
      </c>
      <c r="AJ5" s="187" t="s">
        <v>44</v>
      </c>
      <c r="AK5" s="187" t="s">
        <v>45</v>
      </c>
      <c r="AL5" s="188" t="s">
        <v>46</v>
      </c>
      <c r="AM5" s="187" t="s">
        <v>47</v>
      </c>
      <c r="AN5" s="187" t="s">
        <v>48</v>
      </c>
      <c r="AO5" s="187" t="s">
        <v>49</v>
      </c>
      <c r="AP5" s="187" t="s">
        <v>50</v>
      </c>
      <c r="AQ5" s="188" t="s">
        <v>225</v>
      </c>
      <c r="AR5" s="187" t="s">
        <v>52</v>
      </c>
      <c r="AS5" s="187" t="s">
        <v>53</v>
      </c>
      <c r="AT5" s="187" t="s">
        <v>54</v>
      </c>
      <c r="AU5" s="187" t="s">
        <v>55</v>
      </c>
      <c r="AV5" s="188" t="s">
        <v>56</v>
      </c>
      <c r="AW5" s="187" t="s">
        <v>57</v>
      </c>
      <c r="AX5" s="187" t="s">
        <v>58</v>
      </c>
      <c r="AY5" s="187" t="s">
        <v>59</v>
      </c>
      <c r="AZ5" s="187" t="s">
        <v>60</v>
      </c>
      <c r="BA5" s="188" t="s">
        <v>61</v>
      </c>
      <c r="BB5" s="187" t="s">
        <v>62</v>
      </c>
      <c r="BC5" s="187" t="s">
        <v>63</v>
      </c>
      <c r="BD5" s="187" t="s">
        <v>64</v>
      </c>
      <c r="BE5" s="187" t="s">
        <v>65</v>
      </c>
      <c r="BF5" s="188" t="s">
        <v>66</v>
      </c>
      <c r="BG5" s="187" t="s">
        <v>67</v>
      </c>
      <c r="BH5" s="187" t="s">
        <v>68</v>
      </c>
      <c r="BI5" s="187" t="s">
        <v>69</v>
      </c>
      <c r="BJ5" s="187" t="s">
        <v>70</v>
      </c>
      <c r="BK5" s="188" t="s">
        <v>71</v>
      </c>
      <c r="BL5" s="187" t="s">
        <v>480</v>
      </c>
      <c r="BM5" s="187" t="s">
        <v>481</v>
      </c>
      <c r="BN5" s="187" t="s">
        <v>482</v>
      </c>
      <c r="BO5" s="187" t="s">
        <v>483</v>
      </c>
      <c r="BP5" s="188" t="s">
        <v>485</v>
      </c>
    </row>
    <row r="6" spans="3:68">
      <c r="C6" s="102" t="s">
        <v>107</v>
      </c>
      <c r="G6" s="21"/>
      <c r="H6" s="20"/>
      <c r="L6" s="21"/>
      <c r="M6" s="20"/>
      <c r="Q6" s="21"/>
      <c r="R6" s="20"/>
      <c r="W6" s="20"/>
      <c r="AB6" s="20"/>
      <c r="AG6" s="20"/>
      <c r="AL6" s="20"/>
      <c r="AQ6" s="20"/>
      <c r="AV6" s="20"/>
      <c r="BA6" s="20"/>
      <c r="BF6" s="20"/>
      <c r="BK6" s="20"/>
      <c r="BP6" s="20"/>
    </row>
    <row r="7" spans="3:68">
      <c r="C7" s="102" t="s">
        <v>108</v>
      </c>
      <c r="G7" s="21"/>
      <c r="H7" s="20"/>
      <c r="L7" s="21"/>
      <c r="M7" s="20"/>
      <c r="Q7" s="21"/>
      <c r="R7" s="20"/>
      <c r="W7" s="20"/>
      <c r="AB7" s="20"/>
      <c r="AG7" s="20"/>
      <c r="AL7" s="20"/>
      <c r="AQ7" s="20"/>
      <c r="AV7" s="20"/>
      <c r="BA7" s="20"/>
      <c r="BF7" s="20"/>
      <c r="BK7" s="20"/>
      <c r="BP7" s="20"/>
    </row>
    <row r="8" spans="3:68">
      <c r="C8" s="103" t="s">
        <v>109</v>
      </c>
      <c r="D8" s="89">
        <v>4164</v>
      </c>
      <c r="E8" s="89">
        <v>4604</v>
      </c>
      <c r="F8" s="89">
        <v>5080</v>
      </c>
      <c r="G8" s="90">
        <v>4859</v>
      </c>
      <c r="H8" s="28">
        <v>4859</v>
      </c>
      <c r="I8" s="89">
        <v>4421</v>
      </c>
      <c r="J8" s="89">
        <v>4566</v>
      </c>
      <c r="K8" s="89">
        <v>4455</v>
      </c>
      <c r="L8" s="90">
        <v>4935</v>
      </c>
      <c r="M8" s="28">
        <v>4935</v>
      </c>
      <c r="N8" s="89">
        <v>4598</v>
      </c>
      <c r="O8" s="89">
        <v>4763</v>
      </c>
      <c r="P8" s="89">
        <v>3844</v>
      </c>
      <c r="Q8" s="90">
        <v>3489</v>
      </c>
      <c r="R8" s="28">
        <v>3489</v>
      </c>
      <c r="S8" s="89">
        <v>3579</v>
      </c>
      <c r="T8" s="89">
        <v>3575</v>
      </c>
      <c r="U8" s="89">
        <v>3226</v>
      </c>
      <c r="V8" s="89">
        <v>3041</v>
      </c>
      <c r="W8" s="28">
        <v>3041</v>
      </c>
      <c r="X8" s="89">
        <v>2411</v>
      </c>
      <c r="Y8" s="89">
        <v>2462</v>
      </c>
      <c r="Z8" s="89">
        <v>2357</v>
      </c>
      <c r="AA8" s="89">
        <v>2829</v>
      </c>
      <c r="AB8" s="28">
        <v>2829</v>
      </c>
      <c r="AC8" s="89">
        <v>2266</v>
      </c>
      <c r="AD8" s="89">
        <v>2324</v>
      </c>
      <c r="AE8" s="89">
        <v>2422</v>
      </c>
      <c r="AF8" s="89">
        <v>2465</v>
      </c>
      <c r="AG8" s="28">
        <v>2465</v>
      </c>
      <c r="AH8" s="89">
        <f>2515+536</f>
        <v>3051</v>
      </c>
      <c r="AI8" s="89">
        <v>3038</v>
      </c>
      <c r="AJ8" s="89">
        <v>3022</v>
      </c>
      <c r="AK8" s="89">
        <v>3380</v>
      </c>
      <c r="AL8" s="28">
        <f>AK8</f>
        <v>3380</v>
      </c>
      <c r="AM8" s="89">
        <v>2871</v>
      </c>
      <c r="AN8" s="89">
        <v>2432</v>
      </c>
      <c r="AO8" s="89">
        <v>2145</v>
      </c>
      <c r="AP8" s="89">
        <v>2305</v>
      </c>
      <c r="AQ8" s="28">
        <f>AP8</f>
        <v>2305</v>
      </c>
      <c r="AR8" s="89">
        <v>1771</v>
      </c>
      <c r="AS8" s="89">
        <v>1828</v>
      </c>
      <c r="AT8" s="89">
        <v>1401</v>
      </c>
      <c r="AU8" s="89">
        <v>1481</v>
      </c>
      <c r="AV8" s="28">
        <f>AU8</f>
        <v>1481</v>
      </c>
      <c r="AW8" s="89">
        <f>1501+885</f>
        <v>2386</v>
      </c>
      <c r="AX8" s="89">
        <v>1892</v>
      </c>
      <c r="AY8" s="89">
        <v>1640</v>
      </c>
      <c r="AZ8" s="89">
        <v>1773</v>
      </c>
      <c r="BA8" s="28">
        <f t="shared" ref="BA8:BA16" si="0">AZ8</f>
        <v>1773</v>
      </c>
      <c r="BB8" s="89">
        <f>1971+1394</f>
        <v>3365</v>
      </c>
      <c r="BC8" s="89">
        <v>2601</v>
      </c>
      <c r="BD8" s="89">
        <v>2663</v>
      </c>
      <c r="BE8" s="89">
        <v>2861</v>
      </c>
      <c r="BF8" s="28">
        <f>BE8</f>
        <v>2861</v>
      </c>
      <c r="BG8" s="89">
        <v>3202</v>
      </c>
      <c r="BH8" s="89">
        <v>3585</v>
      </c>
      <c r="BI8" s="89">
        <v>2216</v>
      </c>
      <c r="BJ8" s="89">
        <v>2341</v>
      </c>
      <c r="BK8" s="28">
        <f>BJ8</f>
        <v>2341</v>
      </c>
      <c r="BL8" s="89">
        <v>2287</v>
      </c>
      <c r="BM8" s="89">
        <v>2541</v>
      </c>
      <c r="BN8" s="89"/>
      <c r="BO8" s="89"/>
      <c r="BP8" s="28">
        <f>BM8</f>
        <v>2541</v>
      </c>
    </row>
    <row r="9" spans="3:68">
      <c r="C9" s="103" t="s">
        <v>110</v>
      </c>
      <c r="D9" s="89">
        <v>467</v>
      </c>
      <c r="E9" s="89">
        <v>611</v>
      </c>
      <c r="F9" s="89">
        <v>239</v>
      </c>
      <c r="G9" s="90">
        <v>140</v>
      </c>
      <c r="H9" s="28">
        <v>140</v>
      </c>
      <c r="I9" s="89">
        <v>116</v>
      </c>
      <c r="J9" s="89">
        <v>89</v>
      </c>
      <c r="K9" s="89">
        <v>68</v>
      </c>
      <c r="L9" s="90">
        <v>11</v>
      </c>
      <c r="M9" s="28">
        <v>11</v>
      </c>
      <c r="N9" s="89">
        <v>83</v>
      </c>
      <c r="O9" s="89">
        <v>323</v>
      </c>
      <c r="P9" s="89">
        <v>643</v>
      </c>
      <c r="Q9" s="90">
        <v>1538</v>
      </c>
      <c r="R9" s="28">
        <v>1538</v>
      </c>
      <c r="S9" s="89">
        <v>1609</v>
      </c>
      <c r="T9" s="89">
        <v>1857</v>
      </c>
      <c r="U9" s="89">
        <v>389</v>
      </c>
      <c r="V9" s="89">
        <v>982</v>
      </c>
      <c r="W9" s="28">
        <v>982</v>
      </c>
      <c r="X9" s="89">
        <v>1004</v>
      </c>
      <c r="Y9" s="89">
        <v>1046</v>
      </c>
      <c r="Z9" s="89">
        <v>1407</v>
      </c>
      <c r="AA9" s="89">
        <v>958</v>
      </c>
      <c r="AB9" s="28">
        <v>958</v>
      </c>
      <c r="AC9" s="89">
        <v>778</v>
      </c>
      <c r="AD9" s="89">
        <v>496</v>
      </c>
      <c r="AE9" s="89">
        <v>431</v>
      </c>
      <c r="AF9" s="89">
        <v>615</v>
      </c>
      <c r="AG9" s="28">
        <v>615</v>
      </c>
      <c r="AH9" s="89">
        <v>371</v>
      </c>
      <c r="AI9" s="89">
        <v>488</v>
      </c>
      <c r="AJ9" s="89">
        <v>454</v>
      </c>
      <c r="AK9" s="89">
        <v>320</v>
      </c>
      <c r="AL9" s="28">
        <f t="shared" ref="AL9:AL66" si="1">AK9</f>
        <v>320</v>
      </c>
      <c r="AM9" s="89">
        <v>628</v>
      </c>
      <c r="AN9" s="89">
        <v>671</v>
      </c>
      <c r="AO9" s="89">
        <v>558</v>
      </c>
      <c r="AP9" s="89">
        <v>880</v>
      </c>
      <c r="AQ9" s="28">
        <f t="shared" ref="AQ9:AQ66" si="2">AP9</f>
        <v>880</v>
      </c>
      <c r="AR9" s="89">
        <v>1027</v>
      </c>
      <c r="AS9" s="89">
        <v>1448</v>
      </c>
      <c r="AT9" s="89">
        <v>1055</v>
      </c>
      <c r="AU9" s="89">
        <v>841</v>
      </c>
      <c r="AV9" s="28">
        <f t="shared" ref="AV9:AV66" si="3">AU9</f>
        <v>841</v>
      </c>
      <c r="AW9" s="89">
        <v>675</v>
      </c>
      <c r="AX9" s="89">
        <v>913</v>
      </c>
      <c r="AY9" s="89">
        <v>958</v>
      </c>
      <c r="AZ9" s="89">
        <v>1548</v>
      </c>
      <c r="BA9" s="28">
        <f t="shared" si="0"/>
        <v>1548</v>
      </c>
      <c r="BB9" s="89">
        <v>1051</v>
      </c>
      <c r="BC9" s="89">
        <v>887</v>
      </c>
      <c r="BD9" s="89">
        <v>933</v>
      </c>
      <c r="BE9" s="89">
        <v>1460</v>
      </c>
      <c r="BF9" s="28">
        <f t="shared" ref="BF9:BF14" si="4">BE9</f>
        <v>1460</v>
      </c>
      <c r="BG9" s="89">
        <v>887</v>
      </c>
      <c r="BH9" s="89">
        <v>1420</v>
      </c>
      <c r="BI9" s="89">
        <v>769</v>
      </c>
      <c r="BJ9" s="89">
        <v>1365</v>
      </c>
      <c r="BK9" s="28">
        <f t="shared" ref="BK9:BK66" si="5">BJ9</f>
        <v>1365</v>
      </c>
      <c r="BL9" s="89">
        <v>837</v>
      </c>
      <c r="BM9" s="89">
        <v>1436</v>
      </c>
      <c r="BN9" s="89"/>
      <c r="BO9" s="89"/>
      <c r="BP9" s="28">
        <f t="shared" ref="BP9:BP32" si="6">BM9</f>
        <v>1436</v>
      </c>
    </row>
    <row r="10" spans="3:68">
      <c r="C10" s="103" t="s">
        <v>111</v>
      </c>
      <c r="D10" s="89">
        <v>97</v>
      </c>
      <c r="E10" s="89">
        <v>17</v>
      </c>
      <c r="F10" s="89">
        <v>0</v>
      </c>
      <c r="G10" s="90">
        <v>0</v>
      </c>
      <c r="H10" s="28">
        <v>0</v>
      </c>
      <c r="I10" s="89">
        <v>0</v>
      </c>
      <c r="J10" s="89">
        <v>0</v>
      </c>
      <c r="K10" s="89">
        <v>0</v>
      </c>
      <c r="L10" s="90">
        <v>0</v>
      </c>
      <c r="M10" s="28">
        <v>0</v>
      </c>
      <c r="N10" s="89">
        <v>0</v>
      </c>
      <c r="O10" s="89">
        <v>0</v>
      </c>
      <c r="P10" s="89">
        <v>0</v>
      </c>
      <c r="Q10" s="90">
        <v>0</v>
      </c>
      <c r="R10" s="28">
        <v>0</v>
      </c>
      <c r="S10" s="89">
        <v>0</v>
      </c>
      <c r="T10" s="89">
        <v>0</v>
      </c>
      <c r="U10" s="89">
        <v>0</v>
      </c>
      <c r="V10" s="89">
        <v>0</v>
      </c>
      <c r="W10" s="28">
        <v>0</v>
      </c>
      <c r="X10" s="89">
        <v>0</v>
      </c>
      <c r="Y10" s="89">
        <v>0</v>
      </c>
      <c r="Z10" s="89">
        <v>0</v>
      </c>
      <c r="AA10" s="89">
        <v>0</v>
      </c>
      <c r="AB10" s="28">
        <v>0</v>
      </c>
      <c r="AC10" s="89">
        <v>0</v>
      </c>
      <c r="AD10" s="89">
        <v>0</v>
      </c>
      <c r="AE10" s="89">
        <v>0</v>
      </c>
      <c r="AF10" s="89">
        <v>0</v>
      </c>
      <c r="AG10" s="28">
        <v>0</v>
      </c>
      <c r="AH10" s="89">
        <v>0</v>
      </c>
      <c r="AI10" s="89">
        <v>0</v>
      </c>
      <c r="AJ10" s="89">
        <v>0</v>
      </c>
      <c r="AK10" s="89">
        <v>0</v>
      </c>
      <c r="AL10" s="28">
        <f t="shared" si="1"/>
        <v>0</v>
      </c>
      <c r="AM10" s="89">
        <v>0</v>
      </c>
      <c r="AN10" s="89">
        <v>0</v>
      </c>
      <c r="AO10" s="89">
        <v>0</v>
      </c>
      <c r="AP10" s="89">
        <v>0</v>
      </c>
      <c r="AQ10" s="28">
        <f t="shared" si="2"/>
        <v>0</v>
      </c>
      <c r="AR10" s="89">
        <v>0</v>
      </c>
      <c r="AS10" s="89">
        <v>0</v>
      </c>
      <c r="AT10" s="89">
        <v>0</v>
      </c>
      <c r="AU10" s="89">
        <v>0</v>
      </c>
      <c r="AV10" s="28">
        <f t="shared" si="3"/>
        <v>0</v>
      </c>
      <c r="AW10" s="19">
        <v>0</v>
      </c>
      <c r="AX10" s="89">
        <v>0</v>
      </c>
      <c r="AY10" s="89">
        <v>0</v>
      </c>
      <c r="AZ10" s="89">
        <v>0</v>
      </c>
      <c r="BA10" s="28">
        <f t="shared" si="0"/>
        <v>0</v>
      </c>
      <c r="BB10" s="19">
        <v>0</v>
      </c>
      <c r="BC10" s="89">
        <v>0</v>
      </c>
      <c r="BD10" s="89">
        <v>0</v>
      </c>
      <c r="BE10" s="89">
        <v>0</v>
      </c>
      <c r="BF10" s="28">
        <f t="shared" si="4"/>
        <v>0</v>
      </c>
      <c r="BG10" s="19">
        <v>0</v>
      </c>
      <c r="BH10" s="89">
        <v>0</v>
      </c>
      <c r="BI10" s="89">
        <v>0</v>
      </c>
      <c r="BJ10" s="89">
        <v>0</v>
      </c>
      <c r="BK10" s="28">
        <f t="shared" si="5"/>
        <v>0</v>
      </c>
      <c r="BL10" s="89">
        <v>0</v>
      </c>
      <c r="BM10" s="89">
        <v>0</v>
      </c>
      <c r="BN10" s="89"/>
      <c r="BO10" s="19"/>
      <c r="BP10" s="28">
        <f t="shared" si="6"/>
        <v>0</v>
      </c>
    </row>
    <row r="11" spans="3:68">
      <c r="C11" s="103" t="s">
        <v>113</v>
      </c>
      <c r="D11" s="89">
        <v>1524</v>
      </c>
      <c r="E11" s="89">
        <v>1464</v>
      </c>
      <c r="F11" s="89">
        <v>1437</v>
      </c>
      <c r="G11" s="90">
        <v>1554</v>
      </c>
      <c r="H11" s="28">
        <v>1554</v>
      </c>
      <c r="I11" s="89">
        <v>1657</v>
      </c>
      <c r="J11" s="89">
        <v>1585</v>
      </c>
      <c r="K11" s="89">
        <v>1641</v>
      </c>
      <c r="L11" s="90">
        <v>1710</v>
      </c>
      <c r="M11" s="28">
        <v>1710</v>
      </c>
      <c r="N11" s="89">
        <v>1761</v>
      </c>
      <c r="O11" s="89">
        <v>1737</v>
      </c>
      <c r="P11" s="89">
        <v>1905</v>
      </c>
      <c r="Q11" s="90">
        <v>1900</v>
      </c>
      <c r="R11" s="28">
        <v>1900</v>
      </c>
      <c r="S11" s="89">
        <v>1934</v>
      </c>
      <c r="T11" s="89">
        <v>2056</v>
      </c>
      <c r="U11" s="89">
        <v>2057</v>
      </c>
      <c r="V11" s="89">
        <v>2016</v>
      </c>
      <c r="W11" s="28">
        <v>2016</v>
      </c>
      <c r="X11" s="89">
        <v>2001</v>
      </c>
      <c r="Y11" s="89">
        <v>2039</v>
      </c>
      <c r="Z11" s="89">
        <v>2130</v>
      </c>
      <c r="AA11" s="89">
        <v>2144</v>
      </c>
      <c r="AB11" s="28">
        <v>2144</v>
      </c>
      <c r="AC11" s="89">
        <v>2290</v>
      </c>
      <c r="AD11" s="89">
        <v>2265</v>
      </c>
      <c r="AE11" s="89">
        <v>2529</v>
      </c>
      <c r="AF11" s="89">
        <v>2443</v>
      </c>
      <c r="AG11" s="28">
        <v>2443</v>
      </c>
      <c r="AH11" s="89">
        <v>2487</v>
      </c>
      <c r="AI11" s="89">
        <v>2430</v>
      </c>
      <c r="AJ11" s="89">
        <v>2629</v>
      </c>
      <c r="AK11" s="89">
        <v>2639</v>
      </c>
      <c r="AL11" s="28">
        <f t="shared" si="1"/>
        <v>2639</v>
      </c>
      <c r="AM11" s="89">
        <v>2747</v>
      </c>
      <c r="AN11" s="89">
        <v>2711</v>
      </c>
      <c r="AO11" s="89">
        <v>3036</v>
      </c>
      <c r="AP11" s="89">
        <v>2995</v>
      </c>
      <c r="AQ11" s="28">
        <f t="shared" si="2"/>
        <v>2995</v>
      </c>
      <c r="AR11" s="89">
        <v>2917</v>
      </c>
      <c r="AS11" s="89">
        <v>3122</v>
      </c>
      <c r="AT11" s="89">
        <v>3343</v>
      </c>
      <c r="AU11" s="89">
        <v>3094</v>
      </c>
      <c r="AV11" s="28">
        <f t="shared" si="3"/>
        <v>3094</v>
      </c>
      <c r="AW11" s="89">
        <v>3191</v>
      </c>
      <c r="AX11" s="89">
        <v>3403</v>
      </c>
      <c r="AY11" s="89">
        <v>3680</v>
      </c>
      <c r="AZ11" s="89">
        <v>3620</v>
      </c>
      <c r="BA11" s="28">
        <f t="shared" si="0"/>
        <v>3620</v>
      </c>
      <c r="BB11" s="89">
        <v>3709</v>
      </c>
      <c r="BC11" s="89">
        <v>3820</v>
      </c>
      <c r="BD11" s="89">
        <v>3896</v>
      </c>
      <c r="BE11" s="89">
        <v>3645</v>
      </c>
      <c r="BF11" s="28">
        <f t="shared" si="4"/>
        <v>3645</v>
      </c>
      <c r="BG11" s="89">
        <v>3780</v>
      </c>
      <c r="BH11" s="89">
        <v>3826</v>
      </c>
      <c r="BI11" s="89">
        <v>4020</v>
      </c>
      <c r="BJ11" s="89">
        <v>3715</v>
      </c>
      <c r="BK11" s="28">
        <f t="shared" si="5"/>
        <v>3715</v>
      </c>
      <c r="BL11" s="89">
        <v>3569</v>
      </c>
      <c r="BM11" s="89">
        <v>3634</v>
      </c>
      <c r="BN11" s="89"/>
      <c r="BO11" s="89"/>
      <c r="BP11" s="28">
        <f t="shared" si="6"/>
        <v>3634</v>
      </c>
    </row>
    <row r="12" spans="3:68">
      <c r="C12" s="103" t="s">
        <v>114</v>
      </c>
      <c r="D12" s="89">
        <v>493</v>
      </c>
      <c r="E12" s="89">
        <v>477</v>
      </c>
      <c r="F12" s="89">
        <v>465</v>
      </c>
      <c r="G12" s="90">
        <v>455</v>
      </c>
      <c r="H12" s="28">
        <v>455</v>
      </c>
      <c r="I12" s="89">
        <v>464</v>
      </c>
      <c r="J12" s="89">
        <v>524</v>
      </c>
      <c r="K12" s="89">
        <v>450</v>
      </c>
      <c r="L12" s="90">
        <v>457</v>
      </c>
      <c r="M12" s="28">
        <v>457</v>
      </c>
      <c r="N12" s="89">
        <v>484</v>
      </c>
      <c r="O12" s="89">
        <v>584</v>
      </c>
      <c r="P12" s="89">
        <v>502</v>
      </c>
      <c r="Q12" s="90">
        <v>562</v>
      </c>
      <c r="R12" s="28">
        <v>562</v>
      </c>
      <c r="S12" s="89">
        <v>611</v>
      </c>
      <c r="T12" s="89">
        <v>633</v>
      </c>
      <c r="U12" s="89">
        <v>573</v>
      </c>
      <c r="V12" s="89">
        <v>654</v>
      </c>
      <c r="W12" s="28">
        <v>654</v>
      </c>
      <c r="X12" s="89">
        <v>680</v>
      </c>
      <c r="Y12" s="89">
        <v>716</v>
      </c>
      <c r="Z12" s="89">
        <v>688</v>
      </c>
      <c r="AA12" s="89">
        <v>777</v>
      </c>
      <c r="AB12" s="28">
        <v>777</v>
      </c>
      <c r="AC12" s="89">
        <v>964</v>
      </c>
      <c r="AD12" s="89">
        <v>1026</v>
      </c>
      <c r="AE12" s="89">
        <v>914</v>
      </c>
      <c r="AF12" s="89">
        <v>941</v>
      </c>
      <c r="AG12" s="28">
        <v>941</v>
      </c>
      <c r="AH12" s="89">
        <v>949</v>
      </c>
      <c r="AI12" s="89">
        <v>1030</v>
      </c>
      <c r="AJ12" s="89">
        <v>1050</v>
      </c>
      <c r="AK12" s="89">
        <v>1030</v>
      </c>
      <c r="AL12" s="28">
        <f t="shared" si="1"/>
        <v>1030</v>
      </c>
      <c r="AM12" s="89">
        <v>1138</v>
      </c>
      <c r="AN12" s="89">
        <v>1268</v>
      </c>
      <c r="AO12" s="89">
        <v>1325</v>
      </c>
      <c r="AP12" s="89">
        <v>1526</v>
      </c>
      <c r="AQ12" s="28">
        <f t="shared" si="2"/>
        <v>1526</v>
      </c>
      <c r="AR12" s="89">
        <v>1709</v>
      </c>
      <c r="AS12" s="89">
        <v>1635</v>
      </c>
      <c r="AT12" s="89">
        <v>1588</v>
      </c>
      <c r="AU12" s="89">
        <v>1861</v>
      </c>
      <c r="AV12" s="28">
        <f t="shared" si="3"/>
        <v>1861</v>
      </c>
      <c r="AW12" s="89">
        <v>1783</v>
      </c>
      <c r="AX12" s="89">
        <v>1692</v>
      </c>
      <c r="AY12" s="89">
        <v>1589</v>
      </c>
      <c r="AZ12" s="89">
        <v>1531</v>
      </c>
      <c r="BA12" s="28">
        <f t="shared" si="0"/>
        <v>1531</v>
      </c>
      <c r="BB12" s="89">
        <v>1511</v>
      </c>
      <c r="BC12" s="89">
        <v>1559</v>
      </c>
      <c r="BD12" s="89">
        <v>1318</v>
      </c>
      <c r="BE12" s="89">
        <v>1503</v>
      </c>
      <c r="BF12" s="28">
        <f t="shared" si="4"/>
        <v>1503</v>
      </c>
      <c r="BG12" s="89">
        <v>1588</v>
      </c>
      <c r="BH12" s="89">
        <v>1612</v>
      </c>
      <c r="BI12" s="89">
        <v>1477</v>
      </c>
      <c r="BJ12" s="89">
        <v>1633</v>
      </c>
      <c r="BK12" s="28">
        <f t="shared" si="5"/>
        <v>1633</v>
      </c>
      <c r="BL12" s="89">
        <v>1759</v>
      </c>
      <c r="BM12" s="89">
        <v>1733</v>
      </c>
      <c r="BN12" s="89"/>
      <c r="BO12" s="89"/>
      <c r="BP12" s="28">
        <f t="shared" si="6"/>
        <v>1733</v>
      </c>
    </row>
    <row r="13" spans="3:68">
      <c r="C13" s="103" t="s">
        <v>116</v>
      </c>
      <c r="D13" s="89">
        <v>16</v>
      </c>
      <c r="E13" s="89">
        <v>7</v>
      </c>
      <c r="F13" s="89">
        <v>5</v>
      </c>
      <c r="G13" s="90">
        <v>16</v>
      </c>
      <c r="H13" s="28">
        <v>16</v>
      </c>
      <c r="I13" s="89">
        <v>6</v>
      </c>
      <c r="J13" s="89">
        <v>4</v>
      </c>
      <c r="K13" s="89">
        <v>8</v>
      </c>
      <c r="L13" s="90">
        <v>17</v>
      </c>
      <c r="M13" s="28">
        <v>17</v>
      </c>
      <c r="N13" s="89">
        <v>9</v>
      </c>
      <c r="O13" s="89">
        <v>13</v>
      </c>
      <c r="P13" s="89">
        <v>15</v>
      </c>
      <c r="Q13" s="90">
        <v>44</v>
      </c>
      <c r="R13" s="28">
        <v>44</v>
      </c>
      <c r="S13" s="89">
        <v>4</v>
      </c>
      <c r="T13" s="89">
        <v>1</v>
      </c>
      <c r="U13" s="89">
        <v>13</v>
      </c>
      <c r="V13" s="89">
        <v>2</v>
      </c>
      <c r="W13" s="28">
        <v>2</v>
      </c>
      <c r="X13" s="89">
        <v>5</v>
      </c>
      <c r="Y13" s="89">
        <v>3</v>
      </c>
      <c r="Z13" s="89">
        <v>60</v>
      </c>
      <c r="AA13" s="89">
        <v>48</v>
      </c>
      <c r="AB13" s="28">
        <v>48</v>
      </c>
      <c r="AC13" s="89">
        <v>26</v>
      </c>
      <c r="AD13" s="89">
        <v>15</v>
      </c>
      <c r="AE13" s="89">
        <v>5</v>
      </c>
      <c r="AF13" s="89">
        <v>8</v>
      </c>
      <c r="AG13" s="28">
        <v>8</v>
      </c>
      <c r="AH13" s="89">
        <v>12</v>
      </c>
      <c r="AI13" s="89">
        <v>35</v>
      </c>
      <c r="AJ13" s="89">
        <v>23</v>
      </c>
      <c r="AK13" s="89">
        <v>26</v>
      </c>
      <c r="AL13" s="28">
        <f t="shared" si="1"/>
        <v>26</v>
      </c>
      <c r="AM13" s="89">
        <v>9</v>
      </c>
      <c r="AN13" s="89">
        <v>16</v>
      </c>
      <c r="AO13" s="89">
        <v>29</v>
      </c>
      <c r="AP13" s="89">
        <v>19</v>
      </c>
      <c r="AQ13" s="28">
        <f t="shared" si="2"/>
        <v>19</v>
      </c>
      <c r="AR13" s="89">
        <v>13</v>
      </c>
      <c r="AS13" s="89">
        <v>13</v>
      </c>
      <c r="AT13" s="89">
        <v>11</v>
      </c>
      <c r="AU13" s="89">
        <v>12</v>
      </c>
      <c r="AV13" s="28">
        <f t="shared" si="3"/>
        <v>12</v>
      </c>
      <c r="AW13" s="89">
        <v>21</v>
      </c>
      <c r="AX13" s="89">
        <v>20</v>
      </c>
      <c r="AY13" s="89">
        <v>9</v>
      </c>
      <c r="AZ13" s="89">
        <v>10</v>
      </c>
      <c r="BA13" s="28">
        <f t="shared" si="0"/>
        <v>10</v>
      </c>
      <c r="BB13" s="89">
        <v>10</v>
      </c>
      <c r="BC13" s="89">
        <v>8</v>
      </c>
      <c r="BD13" s="89">
        <v>28</v>
      </c>
      <c r="BE13" s="89">
        <v>23</v>
      </c>
      <c r="BF13" s="28">
        <f t="shared" si="4"/>
        <v>23</v>
      </c>
      <c r="BG13" s="89">
        <v>8</v>
      </c>
      <c r="BH13" s="89">
        <v>4</v>
      </c>
      <c r="BI13" s="89">
        <v>6</v>
      </c>
      <c r="BJ13" s="89">
        <v>9</v>
      </c>
      <c r="BK13" s="28">
        <f t="shared" si="5"/>
        <v>9</v>
      </c>
      <c r="BL13" s="89">
        <v>41</v>
      </c>
      <c r="BM13" s="89">
        <v>20</v>
      </c>
      <c r="BN13" s="89"/>
      <c r="BO13" s="89"/>
      <c r="BP13" s="28">
        <f t="shared" si="6"/>
        <v>20</v>
      </c>
    </row>
    <row r="14" spans="3:68">
      <c r="C14" s="103" t="s">
        <v>117</v>
      </c>
      <c r="D14" s="89">
        <v>0</v>
      </c>
      <c r="E14" s="89">
        <v>0</v>
      </c>
      <c r="F14" s="89">
        <v>0</v>
      </c>
      <c r="G14" s="90">
        <v>0</v>
      </c>
      <c r="H14" s="28">
        <v>0</v>
      </c>
      <c r="I14" s="89">
        <v>0</v>
      </c>
      <c r="J14" s="89">
        <v>0</v>
      </c>
      <c r="K14" s="89">
        <v>0</v>
      </c>
      <c r="L14" s="90">
        <v>0</v>
      </c>
      <c r="M14" s="28">
        <v>0</v>
      </c>
      <c r="N14" s="89">
        <v>0</v>
      </c>
      <c r="O14" s="89">
        <v>0</v>
      </c>
      <c r="P14" s="89">
        <v>0</v>
      </c>
      <c r="Q14" s="90"/>
      <c r="R14" s="28">
        <v>0</v>
      </c>
      <c r="S14" s="89">
        <v>0</v>
      </c>
      <c r="T14" s="89">
        <v>0</v>
      </c>
      <c r="U14" s="89">
        <v>84</v>
      </c>
      <c r="V14" s="89">
        <v>0</v>
      </c>
      <c r="W14" s="28">
        <v>0</v>
      </c>
      <c r="X14" s="19">
        <v>0</v>
      </c>
      <c r="Y14" s="89">
        <v>0</v>
      </c>
      <c r="Z14" s="89">
        <v>0</v>
      </c>
      <c r="AA14" s="89">
        <v>61</v>
      </c>
      <c r="AB14" s="28">
        <v>61</v>
      </c>
      <c r="AC14" s="19">
        <v>38</v>
      </c>
      <c r="AD14" s="19">
        <v>5</v>
      </c>
      <c r="AE14" s="19">
        <v>1</v>
      </c>
      <c r="AF14" s="89">
        <v>1</v>
      </c>
      <c r="AG14" s="28">
        <v>1</v>
      </c>
      <c r="AH14" s="19">
        <v>1</v>
      </c>
      <c r="AI14" s="19">
        <v>0</v>
      </c>
      <c r="AJ14" s="19">
        <v>0</v>
      </c>
      <c r="AK14" s="89">
        <v>0</v>
      </c>
      <c r="AL14" s="28">
        <f t="shared" si="1"/>
        <v>0</v>
      </c>
      <c r="AM14" s="19">
        <v>0</v>
      </c>
      <c r="AN14" s="19">
        <v>0</v>
      </c>
      <c r="AO14" s="19">
        <v>0</v>
      </c>
      <c r="AP14" s="89">
        <v>7</v>
      </c>
      <c r="AQ14" s="28">
        <f t="shared" si="2"/>
        <v>7</v>
      </c>
      <c r="AR14" s="19">
        <v>0</v>
      </c>
      <c r="AS14" s="19">
        <v>0</v>
      </c>
      <c r="AT14" s="19">
        <v>0</v>
      </c>
      <c r="AU14" s="89">
        <v>1</v>
      </c>
      <c r="AV14" s="28">
        <f t="shared" si="3"/>
        <v>1</v>
      </c>
      <c r="AW14" s="19">
        <v>1</v>
      </c>
      <c r="AX14" s="19">
        <v>5</v>
      </c>
      <c r="AY14" s="19">
        <v>21</v>
      </c>
      <c r="AZ14" s="89">
        <v>767</v>
      </c>
      <c r="BA14" s="28">
        <f t="shared" si="0"/>
        <v>767</v>
      </c>
      <c r="BB14" s="19">
        <v>363</v>
      </c>
      <c r="BC14" s="19">
        <v>289</v>
      </c>
      <c r="BD14" s="19">
        <v>3</v>
      </c>
      <c r="BE14" s="89">
        <v>348</v>
      </c>
      <c r="BF14" s="28">
        <f t="shared" si="4"/>
        <v>348</v>
      </c>
      <c r="BG14" s="19">
        <v>347</v>
      </c>
      <c r="BH14" s="19">
        <v>3</v>
      </c>
      <c r="BI14" s="19">
        <v>3</v>
      </c>
      <c r="BJ14" s="89">
        <v>193</v>
      </c>
      <c r="BK14" s="28">
        <f t="shared" si="5"/>
        <v>193</v>
      </c>
      <c r="BL14" s="19">
        <v>194</v>
      </c>
      <c r="BM14" s="19">
        <v>4</v>
      </c>
      <c r="BN14" s="19"/>
      <c r="BO14" s="19"/>
      <c r="BP14" s="28">
        <f t="shared" si="6"/>
        <v>4</v>
      </c>
    </row>
    <row r="15" spans="3:68" s="259" customFormat="1" ht="13.5">
      <c r="C15" s="103" t="s">
        <v>118</v>
      </c>
      <c r="D15" s="257">
        <v>483</v>
      </c>
      <c r="E15" s="257">
        <v>447</v>
      </c>
      <c r="F15" s="257">
        <v>438</v>
      </c>
      <c r="G15" s="258">
        <v>527</v>
      </c>
      <c r="H15" s="52">
        <v>527</v>
      </c>
      <c r="I15" s="257">
        <v>630</v>
      </c>
      <c r="J15" s="257">
        <v>714</v>
      </c>
      <c r="K15" s="257">
        <v>747</v>
      </c>
      <c r="L15" s="258">
        <v>672</v>
      </c>
      <c r="M15" s="52">
        <v>672</v>
      </c>
      <c r="N15" s="257">
        <v>805</v>
      </c>
      <c r="O15" s="257">
        <v>777</v>
      </c>
      <c r="P15" s="257">
        <v>803</v>
      </c>
      <c r="Q15" s="258">
        <v>749</v>
      </c>
      <c r="R15" s="52">
        <v>749</v>
      </c>
      <c r="S15" s="257">
        <v>822</v>
      </c>
      <c r="T15" s="257">
        <v>797</v>
      </c>
      <c r="U15" s="257">
        <v>891</v>
      </c>
      <c r="V15" s="257">
        <v>662</v>
      </c>
      <c r="W15" s="52">
        <v>662</v>
      </c>
      <c r="X15" s="257">
        <v>707</v>
      </c>
      <c r="Y15" s="257">
        <v>662</v>
      </c>
      <c r="Z15" s="257">
        <v>776</v>
      </c>
      <c r="AA15" s="257">
        <v>827</v>
      </c>
      <c r="AB15" s="52">
        <v>827</v>
      </c>
      <c r="AC15" s="257">
        <v>851</v>
      </c>
      <c r="AD15" s="257">
        <v>761</v>
      </c>
      <c r="AE15" s="257">
        <v>820</v>
      </c>
      <c r="AF15" s="257">
        <v>739</v>
      </c>
      <c r="AG15" s="105">
        <v>739</v>
      </c>
      <c r="AH15" s="257">
        <v>852</v>
      </c>
      <c r="AI15" s="257">
        <v>750</v>
      </c>
      <c r="AJ15" s="257">
        <v>809</v>
      </c>
      <c r="AK15" s="257">
        <v>912</v>
      </c>
      <c r="AL15" s="105">
        <f t="shared" si="1"/>
        <v>912</v>
      </c>
      <c r="AM15" s="257">
        <v>920</v>
      </c>
      <c r="AN15" s="257">
        <v>986</v>
      </c>
      <c r="AO15" s="257">
        <v>1060</v>
      </c>
      <c r="AP15" s="257">
        <v>1133</v>
      </c>
      <c r="AQ15" s="105">
        <f t="shared" si="2"/>
        <v>1133</v>
      </c>
      <c r="AR15" s="257">
        <v>1245</v>
      </c>
      <c r="AS15" s="257">
        <v>1165</v>
      </c>
      <c r="AT15" s="257">
        <v>1355</v>
      </c>
      <c r="AU15" s="257">
        <v>1336</v>
      </c>
      <c r="AV15" s="105">
        <f t="shared" si="3"/>
        <v>1336</v>
      </c>
      <c r="AW15" s="257">
        <v>1386</v>
      </c>
      <c r="AX15" s="257">
        <v>1354</v>
      </c>
      <c r="AY15" s="257">
        <v>1395</v>
      </c>
      <c r="AZ15" s="257">
        <v>1473</v>
      </c>
      <c r="BA15" s="105">
        <f t="shared" si="0"/>
        <v>1473</v>
      </c>
      <c r="BB15" s="257">
        <v>1509</v>
      </c>
      <c r="BC15" s="257">
        <v>1520</v>
      </c>
      <c r="BD15" s="257">
        <v>1397</v>
      </c>
      <c r="BE15" s="257">
        <v>1519</v>
      </c>
      <c r="BF15" s="105">
        <f>BE15</f>
        <v>1519</v>
      </c>
      <c r="BG15" s="257">
        <v>1432</v>
      </c>
      <c r="BH15" s="257">
        <v>1463</v>
      </c>
      <c r="BI15" s="257">
        <v>1574</v>
      </c>
      <c r="BJ15" s="257">
        <v>1656</v>
      </c>
      <c r="BK15" s="105">
        <f t="shared" si="5"/>
        <v>1656</v>
      </c>
      <c r="BL15" s="257">
        <v>1718</v>
      </c>
      <c r="BM15" s="257">
        <v>1667</v>
      </c>
      <c r="BN15" s="257"/>
      <c r="BO15" s="257"/>
      <c r="BP15" s="105">
        <f t="shared" si="6"/>
        <v>1667</v>
      </c>
    </row>
    <row r="16" spans="3:68">
      <c r="C16" s="103"/>
      <c r="D16" s="89">
        <f t="shared" ref="D16:AB16" si="7">SUM(D8:D15)</f>
        <v>7244</v>
      </c>
      <c r="E16" s="89">
        <f t="shared" si="7"/>
        <v>7627</v>
      </c>
      <c r="F16" s="89">
        <f t="shared" si="7"/>
        <v>7664</v>
      </c>
      <c r="G16" s="89">
        <f t="shared" si="7"/>
        <v>7551</v>
      </c>
      <c r="H16" s="28">
        <f t="shared" si="7"/>
        <v>7551</v>
      </c>
      <c r="I16" s="89">
        <f t="shared" si="7"/>
        <v>7294</v>
      </c>
      <c r="J16" s="89">
        <f t="shared" si="7"/>
        <v>7482</v>
      </c>
      <c r="K16" s="89">
        <f t="shared" si="7"/>
        <v>7369</v>
      </c>
      <c r="L16" s="89">
        <f t="shared" si="7"/>
        <v>7802</v>
      </c>
      <c r="M16" s="28">
        <f t="shared" si="7"/>
        <v>7802</v>
      </c>
      <c r="N16" s="89">
        <f t="shared" si="7"/>
        <v>7740</v>
      </c>
      <c r="O16" s="89">
        <f t="shared" si="7"/>
        <v>8197</v>
      </c>
      <c r="P16" s="89">
        <f t="shared" si="7"/>
        <v>7712</v>
      </c>
      <c r="Q16" s="89">
        <f t="shared" si="7"/>
        <v>8282</v>
      </c>
      <c r="R16" s="28">
        <f t="shared" si="7"/>
        <v>8282</v>
      </c>
      <c r="S16" s="89">
        <f t="shared" si="7"/>
        <v>8559</v>
      </c>
      <c r="T16" s="89">
        <f t="shared" si="7"/>
        <v>8919</v>
      </c>
      <c r="U16" s="89">
        <f t="shared" si="7"/>
        <v>7233</v>
      </c>
      <c r="V16" s="89">
        <f t="shared" si="7"/>
        <v>7357</v>
      </c>
      <c r="W16" s="28">
        <f t="shared" si="7"/>
        <v>7357</v>
      </c>
      <c r="X16" s="89">
        <f t="shared" si="7"/>
        <v>6808</v>
      </c>
      <c r="Y16" s="89">
        <f t="shared" si="7"/>
        <v>6928</v>
      </c>
      <c r="Z16" s="89">
        <f t="shared" si="7"/>
        <v>7418</v>
      </c>
      <c r="AA16" s="89">
        <f t="shared" si="7"/>
        <v>7644</v>
      </c>
      <c r="AB16" s="28">
        <f t="shared" si="7"/>
        <v>7644</v>
      </c>
      <c r="AC16" s="89">
        <f t="shared" ref="AC16:AU16" si="8">SUM(AC8:AC15)</f>
        <v>7213</v>
      </c>
      <c r="AD16" s="89">
        <f t="shared" si="8"/>
        <v>6892</v>
      </c>
      <c r="AE16" s="89">
        <f t="shared" si="8"/>
        <v>7122</v>
      </c>
      <c r="AF16" s="89">
        <f t="shared" si="8"/>
        <v>7212</v>
      </c>
      <c r="AG16" s="28">
        <f t="shared" si="8"/>
        <v>7212</v>
      </c>
      <c r="AH16" s="89">
        <f t="shared" si="8"/>
        <v>7723</v>
      </c>
      <c r="AI16" s="89">
        <f t="shared" si="8"/>
        <v>7771</v>
      </c>
      <c r="AJ16" s="89">
        <f t="shared" si="8"/>
        <v>7987</v>
      </c>
      <c r="AK16" s="89">
        <f t="shared" si="8"/>
        <v>8307</v>
      </c>
      <c r="AL16" s="28">
        <f t="shared" si="8"/>
        <v>8307</v>
      </c>
      <c r="AM16" s="89">
        <f t="shared" si="8"/>
        <v>8313</v>
      </c>
      <c r="AN16" s="89">
        <f t="shared" si="8"/>
        <v>8084</v>
      </c>
      <c r="AO16" s="89">
        <f t="shared" si="8"/>
        <v>8153</v>
      </c>
      <c r="AP16" s="89">
        <f t="shared" si="8"/>
        <v>8865</v>
      </c>
      <c r="AQ16" s="28">
        <f t="shared" si="2"/>
        <v>8865</v>
      </c>
      <c r="AR16" s="89">
        <f t="shared" si="8"/>
        <v>8682</v>
      </c>
      <c r="AS16" s="89">
        <f t="shared" si="8"/>
        <v>9211</v>
      </c>
      <c r="AT16" s="89">
        <f t="shared" si="8"/>
        <v>8753</v>
      </c>
      <c r="AU16" s="89">
        <f t="shared" si="8"/>
        <v>8626</v>
      </c>
      <c r="AV16" s="28">
        <f t="shared" si="3"/>
        <v>8626</v>
      </c>
      <c r="AW16" s="89">
        <f>SUM(AW8:AW15)</f>
        <v>9443</v>
      </c>
      <c r="AX16" s="89">
        <f>SUM(AX8:AX15)</f>
        <v>9279</v>
      </c>
      <c r="AY16" s="89">
        <f>SUM(AY8:AY15)</f>
        <v>9292</v>
      </c>
      <c r="AZ16" s="89">
        <f>SUM(AZ8:AZ15)</f>
        <v>10722</v>
      </c>
      <c r="BA16" s="28">
        <f t="shared" si="0"/>
        <v>10722</v>
      </c>
      <c r="BB16" s="89">
        <f>SUM(BB8:BB15)</f>
        <v>11518</v>
      </c>
      <c r="BC16" s="89">
        <f>SUM(BC8:BC15)</f>
        <v>10684</v>
      </c>
      <c r="BD16" s="89">
        <f>SUM(BD8:BD15)</f>
        <v>10238</v>
      </c>
      <c r="BE16" s="89">
        <f>SUM(BE8:BE15)</f>
        <v>11359</v>
      </c>
      <c r="BF16" s="28">
        <f>BE16</f>
        <v>11359</v>
      </c>
      <c r="BG16" s="89">
        <f>SUM(BG8:BG15)</f>
        <v>11244</v>
      </c>
      <c r="BH16" s="89">
        <f>SUM(BH8:BH15)</f>
        <v>11913</v>
      </c>
      <c r="BI16" s="89">
        <f>SUM(BI8:BI15)</f>
        <v>10065</v>
      </c>
      <c r="BJ16" s="89">
        <f>SUM(BJ8:BJ15)</f>
        <v>10912</v>
      </c>
      <c r="BK16" s="28">
        <f t="shared" si="5"/>
        <v>10912</v>
      </c>
      <c r="BL16" s="89">
        <f>SUM(BL8:BL15)</f>
        <v>10405</v>
      </c>
      <c r="BM16" s="89">
        <f>SUM(BM8:BM15)</f>
        <v>11035</v>
      </c>
      <c r="BN16" s="89"/>
      <c r="BO16" s="89"/>
      <c r="BP16" s="28">
        <f t="shared" si="6"/>
        <v>11035</v>
      </c>
    </row>
    <row r="17" spans="3:68" ht="13.5">
      <c r="C17" s="103" t="s">
        <v>119</v>
      </c>
      <c r="D17" s="150">
        <v>0</v>
      </c>
      <c r="E17" s="150">
        <v>0</v>
      </c>
      <c r="F17" s="150">
        <v>0</v>
      </c>
      <c r="G17" s="153">
        <v>0</v>
      </c>
      <c r="H17" s="105">
        <v>0</v>
      </c>
      <c r="I17" s="150">
        <v>0</v>
      </c>
      <c r="J17" s="150">
        <v>0</v>
      </c>
      <c r="K17" s="150">
        <v>0</v>
      </c>
      <c r="L17" s="153">
        <v>0</v>
      </c>
      <c r="M17" s="105">
        <v>0</v>
      </c>
      <c r="N17" s="150">
        <v>0</v>
      </c>
      <c r="O17" s="150">
        <v>0</v>
      </c>
      <c r="P17" s="150">
        <v>0</v>
      </c>
      <c r="Q17" s="153">
        <v>0</v>
      </c>
      <c r="R17" s="105">
        <v>0</v>
      </c>
      <c r="S17" s="150">
        <v>0</v>
      </c>
      <c r="T17" s="150">
        <v>0</v>
      </c>
      <c r="U17" s="150">
        <v>0</v>
      </c>
      <c r="V17" s="150">
        <v>316</v>
      </c>
      <c r="W17" s="105">
        <v>316</v>
      </c>
      <c r="X17" s="150">
        <v>273</v>
      </c>
      <c r="Y17" s="150">
        <v>270</v>
      </c>
      <c r="Z17" s="150">
        <v>0</v>
      </c>
      <c r="AA17" s="150">
        <v>0</v>
      </c>
      <c r="AB17" s="105">
        <v>0</v>
      </c>
      <c r="AC17" s="150">
        <v>0</v>
      </c>
      <c r="AD17" s="150">
        <v>0</v>
      </c>
      <c r="AE17" s="150">
        <v>0</v>
      </c>
      <c r="AF17" s="150">
        <v>0</v>
      </c>
      <c r="AG17" s="105">
        <v>0</v>
      </c>
      <c r="AH17" s="150">
        <v>0</v>
      </c>
      <c r="AI17" s="150">
        <v>0</v>
      </c>
      <c r="AJ17" s="150">
        <v>0</v>
      </c>
      <c r="AK17" s="150">
        <v>0</v>
      </c>
      <c r="AL17" s="105">
        <f t="shared" si="1"/>
        <v>0</v>
      </c>
      <c r="AM17" s="150">
        <v>0</v>
      </c>
      <c r="AN17" s="150">
        <v>0</v>
      </c>
      <c r="AO17" s="150">
        <v>0</v>
      </c>
      <c r="AP17" s="150">
        <v>0</v>
      </c>
      <c r="AQ17" s="105">
        <f t="shared" si="2"/>
        <v>0</v>
      </c>
      <c r="AR17" s="150">
        <v>0</v>
      </c>
      <c r="AS17" s="150">
        <v>0</v>
      </c>
      <c r="AT17" s="150">
        <v>0</v>
      </c>
      <c r="AU17" s="150">
        <v>0</v>
      </c>
      <c r="AV17" s="105">
        <f t="shared" si="3"/>
        <v>0</v>
      </c>
      <c r="AW17" s="150">
        <v>0</v>
      </c>
      <c r="AX17" s="150">
        <v>0</v>
      </c>
      <c r="AY17" s="150">
        <v>0</v>
      </c>
      <c r="AZ17" s="150">
        <v>0</v>
      </c>
      <c r="BA17" s="105">
        <f>AY17</f>
        <v>0</v>
      </c>
      <c r="BB17" s="150">
        <v>0</v>
      </c>
      <c r="BC17" s="150">
        <v>0</v>
      </c>
      <c r="BD17" s="150">
        <v>0</v>
      </c>
      <c r="BE17" s="150">
        <v>0</v>
      </c>
      <c r="BF17" s="105">
        <f>BD17</f>
        <v>0</v>
      </c>
      <c r="BG17" s="150">
        <v>0</v>
      </c>
      <c r="BH17" s="150">
        <v>0</v>
      </c>
      <c r="BI17" s="150">
        <v>0</v>
      </c>
      <c r="BJ17" s="150">
        <v>0</v>
      </c>
      <c r="BK17" s="105">
        <f t="shared" si="5"/>
        <v>0</v>
      </c>
      <c r="BL17" s="150">
        <v>0</v>
      </c>
      <c r="BM17" s="150">
        <v>0</v>
      </c>
      <c r="BN17" s="150"/>
      <c r="BO17" s="150"/>
      <c r="BP17" s="105">
        <f t="shared" si="6"/>
        <v>0</v>
      </c>
    </row>
    <row r="18" spans="3:68" s="39" customFormat="1">
      <c r="C18" s="102" t="s">
        <v>120</v>
      </c>
      <c r="D18" s="23">
        <f t="shared" ref="D18:W18" si="9">D16+D17</f>
        <v>7244</v>
      </c>
      <c r="E18" s="23">
        <f t="shared" si="9"/>
        <v>7627</v>
      </c>
      <c r="F18" s="23">
        <f t="shared" si="9"/>
        <v>7664</v>
      </c>
      <c r="G18" s="23">
        <f t="shared" si="9"/>
        <v>7551</v>
      </c>
      <c r="H18" s="24">
        <f t="shared" si="9"/>
        <v>7551</v>
      </c>
      <c r="I18" s="23">
        <f t="shared" si="9"/>
        <v>7294</v>
      </c>
      <c r="J18" s="23">
        <f t="shared" si="9"/>
        <v>7482</v>
      </c>
      <c r="K18" s="23">
        <f t="shared" si="9"/>
        <v>7369</v>
      </c>
      <c r="L18" s="23">
        <f t="shared" si="9"/>
        <v>7802</v>
      </c>
      <c r="M18" s="24">
        <f t="shared" si="9"/>
        <v>7802</v>
      </c>
      <c r="N18" s="23">
        <f t="shared" si="9"/>
        <v>7740</v>
      </c>
      <c r="O18" s="23">
        <f t="shared" si="9"/>
        <v>8197</v>
      </c>
      <c r="P18" s="23">
        <f t="shared" si="9"/>
        <v>7712</v>
      </c>
      <c r="Q18" s="23">
        <f t="shared" si="9"/>
        <v>8282</v>
      </c>
      <c r="R18" s="24">
        <f t="shared" si="9"/>
        <v>8282</v>
      </c>
      <c r="S18" s="23">
        <f t="shared" si="9"/>
        <v>8559</v>
      </c>
      <c r="T18" s="23">
        <f t="shared" si="9"/>
        <v>8919</v>
      </c>
      <c r="U18" s="23">
        <f t="shared" si="9"/>
        <v>7233</v>
      </c>
      <c r="V18" s="23">
        <f t="shared" si="9"/>
        <v>7673</v>
      </c>
      <c r="W18" s="24">
        <f t="shared" si="9"/>
        <v>7673</v>
      </c>
      <c r="X18" s="23">
        <f t="shared" ref="X18:AT18" si="10">X16+X17</f>
        <v>7081</v>
      </c>
      <c r="Y18" s="23">
        <f t="shared" si="10"/>
        <v>7198</v>
      </c>
      <c r="Z18" s="23">
        <f t="shared" si="10"/>
        <v>7418</v>
      </c>
      <c r="AA18" s="23">
        <f t="shared" si="10"/>
        <v>7644</v>
      </c>
      <c r="AB18" s="24">
        <f t="shared" si="10"/>
        <v>7644</v>
      </c>
      <c r="AC18" s="23">
        <f t="shared" si="10"/>
        <v>7213</v>
      </c>
      <c r="AD18" s="23">
        <f t="shared" si="10"/>
        <v>6892</v>
      </c>
      <c r="AE18" s="23">
        <f t="shared" si="10"/>
        <v>7122</v>
      </c>
      <c r="AF18" s="23">
        <f t="shared" si="10"/>
        <v>7212</v>
      </c>
      <c r="AG18" s="24">
        <f t="shared" si="10"/>
        <v>7212</v>
      </c>
      <c r="AH18" s="23">
        <f t="shared" si="10"/>
        <v>7723</v>
      </c>
      <c r="AI18" s="23">
        <f t="shared" si="10"/>
        <v>7771</v>
      </c>
      <c r="AJ18" s="23">
        <f t="shared" si="10"/>
        <v>7987</v>
      </c>
      <c r="AK18" s="23">
        <f t="shared" si="10"/>
        <v>8307</v>
      </c>
      <c r="AL18" s="24">
        <f t="shared" si="10"/>
        <v>8307</v>
      </c>
      <c r="AM18" s="23">
        <f t="shared" si="10"/>
        <v>8313</v>
      </c>
      <c r="AN18" s="23">
        <f t="shared" si="10"/>
        <v>8084</v>
      </c>
      <c r="AO18" s="23">
        <f t="shared" si="10"/>
        <v>8153</v>
      </c>
      <c r="AP18" s="23">
        <f t="shared" si="10"/>
        <v>8865</v>
      </c>
      <c r="AQ18" s="24">
        <f t="shared" si="2"/>
        <v>8865</v>
      </c>
      <c r="AR18" s="23">
        <f t="shared" si="10"/>
        <v>8682</v>
      </c>
      <c r="AS18" s="23">
        <f t="shared" si="10"/>
        <v>9211</v>
      </c>
      <c r="AT18" s="23">
        <f t="shared" si="10"/>
        <v>8753</v>
      </c>
      <c r="AU18" s="23">
        <f>AU16+AU17</f>
        <v>8626</v>
      </c>
      <c r="AV18" s="24">
        <f t="shared" si="3"/>
        <v>8626</v>
      </c>
      <c r="AW18" s="23">
        <f>AW16+AW17</f>
        <v>9443</v>
      </c>
      <c r="AX18" s="23">
        <f>AX16+AX17</f>
        <v>9279</v>
      </c>
      <c r="AY18" s="23">
        <f>AY16+AY17</f>
        <v>9292</v>
      </c>
      <c r="AZ18" s="23">
        <f>AZ16+AZ17</f>
        <v>10722</v>
      </c>
      <c r="BA18" s="24">
        <f>AZ18</f>
        <v>10722</v>
      </c>
      <c r="BB18" s="23">
        <f>BB16+BB17</f>
        <v>11518</v>
      </c>
      <c r="BC18" s="23">
        <f>BC16+BC17</f>
        <v>10684</v>
      </c>
      <c r="BD18" s="23">
        <f>BD16+BD17</f>
        <v>10238</v>
      </c>
      <c r="BE18" s="23">
        <f>BE16+BE17</f>
        <v>11359</v>
      </c>
      <c r="BF18" s="24">
        <f>BE18</f>
        <v>11359</v>
      </c>
      <c r="BG18" s="23">
        <f>BG16+BG17</f>
        <v>11244</v>
      </c>
      <c r="BH18" s="23">
        <f>BH16+BH17</f>
        <v>11913</v>
      </c>
      <c r="BI18" s="23">
        <f>BI16+BI17</f>
        <v>10065</v>
      </c>
      <c r="BJ18" s="23">
        <f>BJ16+BJ17</f>
        <v>10912</v>
      </c>
      <c r="BK18" s="24">
        <f t="shared" si="5"/>
        <v>10912</v>
      </c>
      <c r="BL18" s="23">
        <f>BL16+BL17</f>
        <v>10405</v>
      </c>
      <c r="BM18" s="23">
        <f>BM16+BM17</f>
        <v>11035</v>
      </c>
      <c r="BN18" s="23"/>
      <c r="BO18" s="23"/>
      <c r="BP18" s="24">
        <f t="shared" si="6"/>
        <v>11035</v>
      </c>
    </row>
    <row r="19" spans="3:68">
      <c r="C19" s="102" t="s">
        <v>121</v>
      </c>
      <c r="D19" s="89"/>
      <c r="E19" s="89"/>
      <c r="F19" s="89"/>
      <c r="G19" s="90"/>
      <c r="H19" s="28"/>
      <c r="I19" s="89"/>
      <c r="J19" s="89"/>
      <c r="K19" s="89"/>
      <c r="L19" s="90"/>
      <c r="M19" s="28"/>
      <c r="N19" s="89"/>
      <c r="O19" s="89"/>
      <c r="P19" s="89"/>
      <c r="Q19" s="90"/>
      <c r="R19" s="28"/>
      <c r="S19" s="89"/>
      <c r="T19" s="89"/>
      <c r="U19" s="89"/>
      <c r="V19" s="89"/>
      <c r="W19" s="28"/>
      <c r="X19" s="89"/>
      <c r="Y19" s="89"/>
      <c r="Z19" s="89"/>
      <c r="AA19" s="89"/>
      <c r="AB19" s="28"/>
      <c r="AC19" s="89"/>
      <c r="AD19" s="89"/>
      <c r="AE19" s="89"/>
      <c r="AF19" s="89"/>
      <c r="AG19" s="28"/>
      <c r="AH19" s="89"/>
      <c r="AI19" s="89"/>
      <c r="AJ19" s="89"/>
      <c r="AK19" s="89"/>
      <c r="AL19" s="28"/>
      <c r="AM19" s="89"/>
      <c r="AN19" s="89"/>
      <c r="AO19" s="89"/>
      <c r="AP19" s="89"/>
      <c r="AQ19" s="28"/>
      <c r="AR19" s="89"/>
      <c r="AS19" s="89"/>
      <c r="AT19" s="89"/>
      <c r="AU19" s="89"/>
      <c r="AV19" s="28"/>
      <c r="AW19" s="89"/>
      <c r="AX19" s="89"/>
      <c r="AY19" s="89"/>
      <c r="AZ19" s="89"/>
      <c r="BA19" s="28"/>
      <c r="BB19" s="89"/>
      <c r="BC19" s="89"/>
      <c r="BD19" s="89"/>
      <c r="BE19" s="89"/>
      <c r="BF19" s="28"/>
      <c r="BG19" s="89"/>
      <c r="BH19" s="89"/>
      <c r="BI19" s="89"/>
      <c r="BJ19" s="89"/>
      <c r="BK19" s="28"/>
      <c r="BL19" s="89"/>
      <c r="BM19" s="89"/>
      <c r="BN19" s="89"/>
      <c r="BO19" s="89"/>
      <c r="BP19" s="28"/>
    </row>
    <row r="20" spans="3:68">
      <c r="C20" s="103" t="s">
        <v>122</v>
      </c>
      <c r="D20" s="89">
        <v>1354</v>
      </c>
      <c r="E20" s="89">
        <v>1360</v>
      </c>
      <c r="F20" s="89">
        <v>1385</v>
      </c>
      <c r="G20" s="90">
        <v>1460</v>
      </c>
      <c r="H20" s="28">
        <v>1460</v>
      </c>
      <c r="I20" s="89">
        <v>1494</v>
      </c>
      <c r="J20" s="89">
        <v>1477</v>
      </c>
      <c r="K20" s="89">
        <v>1517</v>
      </c>
      <c r="L20" s="90">
        <v>1589</v>
      </c>
      <c r="M20" s="28">
        <v>1589</v>
      </c>
      <c r="N20" s="89">
        <v>1624</v>
      </c>
      <c r="O20" s="89">
        <v>1681</v>
      </c>
      <c r="P20" s="89">
        <v>1680</v>
      </c>
      <c r="Q20" s="90">
        <v>1807</v>
      </c>
      <c r="R20" s="28">
        <v>1807</v>
      </c>
      <c r="S20" s="89">
        <v>1834</v>
      </c>
      <c r="T20" s="89">
        <v>1814</v>
      </c>
      <c r="U20" s="89">
        <v>1853</v>
      </c>
      <c r="V20" s="89">
        <v>1863</v>
      </c>
      <c r="W20" s="28">
        <v>1863</v>
      </c>
      <c r="X20" s="89">
        <v>1781</v>
      </c>
      <c r="Y20" s="89">
        <v>1707</v>
      </c>
      <c r="Z20" s="89">
        <v>1817</v>
      </c>
      <c r="AA20" s="89">
        <v>1931</v>
      </c>
      <c r="AB20" s="28">
        <v>1931</v>
      </c>
      <c r="AC20" s="89">
        <v>1903</v>
      </c>
      <c r="AD20" s="89">
        <v>1878</v>
      </c>
      <c r="AE20" s="89">
        <v>1896</v>
      </c>
      <c r="AF20" s="89">
        <v>1810</v>
      </c>
      <c r="AG20" s="28">
        <v>1810</v>
      </c>
      <c r="AH20" s="89">
        <v>1825</v>
      </c>
      <c r="AI20" s="89">
        <v>1869</v>
      </c>
      <c r="AJ20" s="89">
        <v>1866</v>
      </c>
      <c r="AK20" s="89">
        <v>1863</v>
      </c>
      <c r="AL20" s="28">
        <f t="shared" si="1"/>
        <v>1863</v>
      </c>
      <c r="AM20" s="89">
        <v>1825</v>
      </c>
      <c r="AN20" s="89">
        <v>1809</v>
      </c>
      <c r="AO20" s="89">
        <v>1796</v>
      </c>
      <c r="AP20" s="89">
        <v>1793</v>
      </c>
      <c r="AQ20" s="28">
        <f t="shared" si="2"/>
        <v>1793</v>
      </c>
      <c r="AR20" s="89">
        <v>1708</v>
      </c>
      <c r="AS20" s="89">
        <v>1647</v>
      </c>
      <c r="AT20" s="89">
        <v>1622</v>
      </c>
      <c r="AU20" s="89">
        <v>1679</v>
      </c>
      <c r="AV20" s="28">
        <f t="shared" si="3"/>
        <v>1679</v>
      </c>
      <c r="AW20" s="89">
        <v>1638</v>
      </c>
      <c r="AX20" s="89">
        <v>1587</v>
      </c>
      <c r="AY20" s="89">
        <v>1547</v>
      </c>
      <c r="AZ20" s="89">
        <v>1537</v>
      </c>
      <c r="BA20" s="28">
        <f>AZ20</f>
        <v>1537</v>
      </c>
      <c r="BB20" s="89">
        <v>1504</v>
      </c>
      <c r="BC20" s="89">
        <v>1486</v>
      </c>
      <c r="BD20" s="89">
        <v>1442</v>
      </c>
      <c r="BE20" s="89">
        <v>1497</v>
      </c>
      <c r="BF20" s="28">
        <f>BE20</f>
        <v>1497</v>
      </c>
      <c r="BG20" s="89">
        <v>1484</v>
      </c>
      <c r="BH20" s="89">
        <v>1452</v>
      </c>
      <c r="BI20" s="89">
        <v>1448</v>
      </c>
      <c r="BJ20" s="89">
        <v>1406</v>
      </c>
      <c r="BK20" s="28">
        <f t="shared" si="5"/>
        <v>1406</v>
      </c>
      <c r="BL20" s="89">
        <v>1420</v>
      </c>
      <c r="BM20" s="89">
        <v>1424</v>
      </c>
      <c r="BN20" s="89"/>
      <c r="BO20" s="89"/>
      <c r="BP20" s="28">
        <f t="shared" si="6"/>
        <v>1424</v>
      </c>
    </row>
    <row r="21" spans="3:68">
      <c r="C21" s="103" t="s">
        <v>123</v>
      </c>
      <c r="D21" s="89"/>
      <c r="E21" s="89"/>
      <c r="F21" s="89"/>
      <c r="G21" s="90"/>
      <c r="H21" s="28"/>
      <c r="I21" s="89"/>
      <c r="J21" s="89"/>
      <c r="K21" s="89"/>
      <c r="L21" s="90"/>
      <c r="M21" s="28"/>
      <c r="N21" s="89"/>
      <c r="O21" s="89"/>
      <c r="P21" s="89"/>
      <c r="Q21" s="90"/>
      <c r="R21" s="28"/>
      <c r="S21" s="89"/>
      <c r="T21" s="89"/>
      <c r="U21" s="89"/>
      <c r="V21" s="89"/>
      <c r="W21" s="28"/>
      <c r="X21" s="89"/>
      <c r="Y21" s="89"/>
      <c r="Z21" s="89"/>
      <c r="AA21" s="89"/>
      <c r="AB21" s="28"/>
      <c r="AC21" s="89">
        <v>540</v>
      </c>
      <c r="AD21" s="89">
        <v>552</v>
      </c>
      <c r="AE21" s="89">
        <v>540</v>
      </c>
      <c r="AF21" s="89">
        <v>551</v>
      </c>
      <c r="AG21" s="28">
        <v>551</v>
      </c>
      <c r="AH21" s="89">
        <v>529</v>
      </c>
      <c r="AI21" s="89">
        <v>569</v>
      </c>
      <c r="AJ21" s="89">
        <v>617</v>
      </c>
      <c r="AK21" s="89">
        <v>656</v>
      </c>
      <c r="AL21" s="28">
        <f t="shared" si="1"/>
        <v>656</v>
      </c>
      <c r="AM21" s="89">
        <v>613</v>
      </c>
      <c r="AN21" s="89">
        <v>620</v>
      </c>
      <c r="AO21" s="89">
        <v>637</v>
      </c>
      <c r="AP21" s="89">
        <v>636</v>
      </c>
      <c r="AQ21" s="28">
        <f t="shared" si="2"/>
        <v>636</v>
      </c>
      <c r="AR21" s="89">
        <v>669</v>
      </c>
      <c r="AS21" s="89">
        <v>692</v>
      </c>
      <c r="AT21" s="89">
        <v>783</v>
      </c>
      <c r="AU21" s="89">
        <v>837</v>
      </c>
      <c r="AV21" s="28">
        <f t="shared" si="3"/>
        <v>837</v>
      </c>
      <c r="AW21" s="89">
        <v>859</v>
      </c>
      <c r="AX21" s="89">
        <v>837</v>
      </c>
      <c r="AY21" s="89">
        <v>828</v>
      </c>
      <c r="AZ21" s="89">
        <v>786</v>
      </c>
      <c r="BA21" s="28">
        <f t="shared" ref="BA21:BA29" si="11">AZ21</f>
        <v>786</v>
      </c>
      <c r="BB21" s="89">
        <v>781</v>
      </c>
      <c r="BC21" s="89">
        <v>798</v>
      </c>
      <c r="BD21" s="89">
        <v>741</v>
      </c>
      <c r="BE21" s="89">
        <v>738</v>
      </c>
      <c r="BF21" s="28">
        <f t="shared" ref="BF21:BF29" si="12">BE21</f>
        <v>738</v>
      </c>
      <c r="BG21" s="89">
        <v>739</v>
      </c>
      <c r="BH21" s="89">
        <v>720</v>
      </c>
      <c r="BI21" s="89">
        <v>680</v>
      </c>
      <c r="BJ21" s="89">
        <v>651</v>
      </c>
      <c r="BK21" s="28">
        <f t="shared" si="5"/>
        <v>651</v>
      </c>
      <c r="BL21" s="89">
        <v>646</v>
      </c>
      <c r="BM21" s="89">
        <v>645</v>
      </c>
      <c r="BN21" s="89"/>
      <c r="BO21" s="89"/>
      <c r="BP21" s="28">
        <f t="shared" si="6"/>
        <v>645</v>
      </c>
    </row>
    <row r="22" spans="3:68">
      <c r="C22" s="103" t="s">
        <v>124</v>
      </c>
      <c r="D22" s="89">
        <v>359</v>
      </c>
      <c r="E22" s="89">
        <v>340</v>
      </c>
      <c r="F22" s="89">
        <v>330</v>
      </c>
      <c r="G22" s="90">
        <v>495</v>
      </c>
      <c r="H22" s="28">
        <v>495</v>
      </c>
      <c r="I22" s="89">
        <v>571</v>
      </c>
      <c r="J22" s="89">
        <v>559</v>
      </c>
      <c r="K22" s="89">
        <v>560</v>
      </c>
      <c r="L22" s="90">
        <v>568</v>
      </c>
      <c r="M22" s="28">
        <v>568</v>
      </c>
      <c r="N22" s="89">
        <v>561</v>
      </c>
      <c r="O22" s="89">
        <v>566</v>
      </c>
      <c r="P22" s="89">
        <v>554</v>
      </c>
      <c r="Q22" s="90">
        <v>563</v>
      </c>
      <c r="R22" s="28">
        <v>563</v>
      </c>
      <c r="S22" s="89">
        <v>573</v>
      </c>
      <c r="T22" s="89">
        <v>580</v>
      </c>
      <c r="U22" s="89">
        <v>583</v>
      </c>
      <c r="V22" s="89">
        <v>339</v>
      </c>
      <c r="W22" s="28">
        <v>339</v>
      </c>
      <c r="X22" s="89">
        <v>349</v>
      </c>
      <c r="Y22" s="89">
        <v>344</v>
      </c>
      <c r="Z22" s="89">
        <v>514</v>
      </c>
      <c r="AA22" s="89">
        <v>512</v>
      </c>
      <c r="AB22" s="28">
        <v>512</v>
      </c>
      <c r="AC22" s="89">
        <v>589</v>
      </c>
      <c r="AD22" s="89">
        <v>576</v>
      </c>
      <c r="AE22" s="89">
        <v>584</v>
      </c>
      <c r="AF22" s="89">
        <v>699</v>
      </c>
      <c r="AG22" s="28">
        <v>699</v>
      </c>
      <c r="AH22" s="89">
        <v>711</v>
      </c>
      <c r="AI22" s="89">
        <v>727</v>
      </c>
      <c r="AJ22" s="89">
        <v>848</v>
      </c>
      <c r="AK22" s="89">
        <v>832</v>
      </c>
      <c r="AL22" s="28">
        <f t="shared" si="1"/>
        <v>832</v>
      </c>
      <c r="AM22" s="89">
        <v>834</v>
      </c>
      <c r="AN22" s="89">
        <v>825</v>
      </c>
      <c r="AO22" s="89">
        <v>823</v>
      </c>
      <c r="AP22" s="89">
        <v>817</v>
      </c>
      <c r="AQ22" s="28">
        <f t="shared" si="2"/>
        <v>817</v>
      </c>
      <c r="AR22" s="89">
        <v>813</v>
      </c>
      <c r="AS22" s="89">
        <v>847</v>
      </c>
      <c r="AT22" s="89">
        <v>876</v>
      </c>
      <c r="AU22" s="89">
        <v>882</v>
      </c>
      <c r="AV22" s="28">
        <f t="shared" si="3"/>
        <v>882</v>
      </c>
      <c r="AW22" s="89">
        <v>882</v>
      </c>
      <c r="AX22" s="89">
        <v>872</v>
      </c>
      <c r="AY22" s="89">
        <v>894</v>
      </c>
      <c r="AZ22" s="89">
        <v>875</v>
      </c>
      <c r="BA22" s="28">
        <f t="shared" si="11"/>
        <v>875</v>
      </c>
      <c r="BB22" s="89">
        <v>888</v>
      </c>
      <c r="BC22" s="89">
        <v>1216</v>
      </c>
      <c r="BD22" s="89">
        <v>1160</v>
      </c>
      <c r="BE22" s="89">
        <v>1182</v>
      </c>
      <c r="BF22" s="28">
        <f t="shared" si="12"/>
        <v>1182</v>
      </c>
      <c r="BG22" s="89">
        <v>1296</v>
      </c>
      <c r="BH22" s="89">
        <v>1295</v>
      </c>
      <c r="BI22" s="89">
        <v>1294</v>
      </c>
      <c r="BJ22" s="89">
        <v>1278</v>
      </c>
      <c r="BK22" s="28">
        <f t="shared" si="5"/>
        <v>1278</v>
      </c>
      <c r="BL22" s="89">
        <v>1556</v>
      </c>
      <c r="BM22" s="89">
        <v>1551</v>
      </c>
      <c r="BN22" s="89"/>
      <c r="BO22" s="89"/>
      <c r="BP22" s="28">
        <f t="shared" si="6"/>
        <v>1551</v>
      </c>
    </row>
    <row r="23" spans="3:68">
      <c r="C23" s="103" t="s">
        <v>125</v>
      </c>
      <c r="D23" s="89">
        <v>54</v>
      </c>
      <c r="E23" s="89">
        <v>49</v>
      </c>
      <c r="F23" s="89">
        <v>45</v>
      </c>
      <c r="G23" s="90">
        <v>102</v>
      </c>
      <c r="H23" s="28">
        <v>102</v>
      </c>
      <c r="I23" s="89">
        <v>149</v>
      </c>
      <c r="J23" s="89">
        <v>140</v>
      </c>
      <c r="K23" s="89">
        <v>157</v>
      </c>
      <c r="L23" s="90">
        <v>149</v>
      </c>
      <c r="M23" s="28">
        <v>149</v>
      </c>
      <c r="N23" s="89">
        <v>142</v>
      </c>
      <c r="O23" s="89">
        <v>136</v>
      </c>
      <c r="P23" s="89">
        <v>127</v>
      </c>
      <c r="Q23" s="90">
        <v>120</v>
      </c>
      <c r="R23" s="28">
        <v>120</v>
      </c>
      <c r="S23" s="89">
        <v>113</v>
      </c>
      <c r="T23" s="89">
        <v>107</v>
      </c>
      <c r="U23" s="89">
        <v>94</v>
      </c>
      <c r="V23" s="89">
        <v>38</v>
      </c>
      <c r="W23" s="28">
        <v>38</v>
      </c>
      <c r="X23" s="89">
        <v>54</v>
      </c>
      <c r="Y23" s="89">
        <v>50</v>
      </c>
      <c r="Z23" s="89">
        <v>108</v>
      </c>
      <c r="AA23" s="89">
        <v>100</v>
      </c>
      <c r="AB23" s="28">
        <v>100</v>
      </c>
      <c r="AC23" s="89">
        <v>207</v>
      </c>
      <c r="AD23" s="89">
        <v>191</v>
      </c>
      <c r="AE23" s="89">
        <v>185</v>
      </c>
      <c r="AF23" s="89">
        <v>251</v>
      </c>
      <c r="AG23" s="28">
        <v>251</v>
      </c>
      <c r="AH23" s="89">
        <v>245</v>
      </c>
      <c r="AI23" s="89">
        <v>237</v>
      </c>
      <c r="AJ23" s="89">
        <v>307</v>
      </c>
      <c r="AK23" s="89">
        <v>283</v>
      </c>
      <c r="AL23" s="28">
        <f t="shared" si="1"/>
        <v>283</v>
      </c>
      <c r="AM23" s="89">
        <v>272</v>
      </c>
      <c r="AN23" s="89">
        <v>255</v>
      </c>
      <c r="AO23" s="89">
        <v>239</v>
      </c>
      <c r="AP23" s="89">
        <v>225</v>
      </c>
      <c r="AQ23" s="28">
        <f t="shared" si="2"/>
        <v>225</v>
      </c>
      <c r="AR23" s="89">
        <v>217</v>
      </c>
      <c r="AS23" s="89">
        <v>225</v>
      </c>
      <c r="AT23" s="89">
        <v>222</v>
      </c>
      <c r="AU23" s="89">
        <v>213</v>
      </c>
      <c r="AV23" s="28">
        <f t="shared" si="3"/>
        <v>213</v>
      </c>
      <c r="AW23" s="89">
        <v>200</v>
      </c>
      <c r="AX23" s="89">
        <v>186</v>
      </c>
      <c r="AY23" s="89">
        <v>181</v>
      </c>
      <c r="AZ23" s="89">
        <v>167</v>
      </c>
      <c r="BA23" s="28">
        <f t="shared" si="11"/>
        <v>167</v>
      </c>
      <c r="BB23" s="89">
        <v>167</v>
      </c>
      <c r="BC23" s="89">
        <v>388</v>
      </c>
      <c r="BD23" s="89">
        <v>348</v>
      </c>
      <c r="BE23" s="89">
        <v>323</v>
      </c>
      <c r="BF23" s="28">
        <f t="shared" si="12"/>
        <v>323</v>
      </c>
      <c r="BG23" s="89">
        <v>370</v>
      </c>
      <c r="BH23" s="89">
        <v>357</v>
      </c>
      <c r="BI23" s="89">
        <v>342</v>
      </c>
      <c r="BJ23" s="89">
        <v>298</v>
      </c>
      <c r="BK23" s="28">
        <f t="shared" si="5"/>
        <v>298</v>
      </c>
      <c r="BL23" s="89">
        <v>486</v>
      </c>
      <c r="BM23" s="89">
        <v>462</v>
      </c>
      <c r="BN23" s="89"/>
      <c r="BO23" s="89"/>
      <c r="BP23" s="28">
        <f t="shared" si="6"/>
        <v>462</v>
      </c>
    </row>
    <row r="24" spans="3:68">
      <c r="C24" s="103" t="s">
        <v>239</v>
      </c>
      <c r="D24" s="89">
        <v>0</v>
      </c>
      <c r="E24" s="89">
        <v>0</v>
      </c>
      <c r="F24" s="89">
        <v>0</v>
      </c>
      <c r="G24" s="90">
        <v>15</v>
      </c>
      <c r="H24" s="28">
        <v>15</v>
      </c>
      <c r="I24" s="89">
        <v>15</v>
      </c>
      <c r="J24" s="89">
        <v>15</v>
      </c>
      <c r="K24" s="89">
        <v>16</v>
      </c>
      <c r="L24" s="90">
        <v>16</v>
      </c>
      <c r="M24" s="28">
        <v>16</v>
      </c>
      <c r="N24" s="89">
        <v>16</v>
      </c>
      <c r="O24" s="89">
        <v>15</v>
      </c>
      <c r="P24" s="89">
        <v>15</v>
      </c>
      <c r="Q24" s="90">
        <v>11</v>
      </c>
      <c r="R24" s="28">
        <v>11</v>
      </c>
      <c r="S24" s="89">
        <v>0</v>
      </c>
      <c r="T24" s="89">
        <v>0</v>
      </c>
      <c r="U24" s="89">
        <v>0</v>
      </c>
      <c r="V24" s="89">
        <v>0</v>
      </c>
      <c r="W24" s="28">
        <v>0</v>
      </c>
      <c r="X24" s="89">
        <v>0</v>
      </c>
      <c r="Y24" s="89">
        <v>0</v>
      </c>
      <c r="Z24" s="89">
        <v>0</v>
      </c>
      <c r="AA24" s="89">
        <v>0</v>
      </c>
      <c r="AB24" s="28">
        <v>0</v>
      </c>
      <c r="AC24" s="89">
        <v>0</v>
      </c>
      <c r="AD24" s="89">
        <v>0</v>
      </c>
      <c r="AE24" s="89">
        <v>0</v>
      </c>
      <c r="AF24" s="89">
        <v>0</v>
      </c>
      <c r="AG24" s="28">
        <v>0</v>
      </c>
      <c r="AH24" s="89">
        <v>0</v>
      </c>
      <c r="AI24" s="89">
        <v>0</v>
      </c>
      <c r="AJ24" s="89">
        <v>0</v>
      </c>
      <c r="AK24" s="89">
        <v>0</v>
      </c>
      <c r="AL24" s="28">
        <f t="shared" si="1"/>
        <v>0</v>
      </c>
      <c r="AM24" s="89">
        <v>0</v>
      </c>
      <c r="AN24" s="89">
        <v>0</v>
      </c>
      <c r="AO24" s="89">
        <v>0</v>
      </c>
      <c r="AP24" s="89">
        <v>0</v>
      </c>
      <c r="AQ24" s="28">
        <f t="shared" si="2"/>
        <v>0</v>
      </c>
      <c r="AR24" s="89">
        <v>0</v>
      </c>
      <c r="AS24" s="89">
        <v>0</v>
      </c>
      <c r="AT24" s="89">
        <v>0</v>
      </c>
      <c r="AU24" s="89">
        <v>0</v>
      </c>
      <c r="AV24" s="28">
        <f t="shared" si="3"/>
        <v>0</v>
      </c>
      <c r="AW24" s="89">
        <v>0</v>
      </c>
      <c r="AX24" s="89">
        <v>0</v>
      </c>
      <c r="AY24" s="89">
        <v>0</v>
      </c>
      <c r="AZ24" s="89">
        <v>0</v>
      </c>
      <c r="BA24" s="28">
        <f t="shared" si="11"/>
        <v>0</v>
      </c>
      <c r="BB24" s="89">
        <v>0</v>
      </c>
      <c r="BC24" s="89">
        <v>0</v>
      </c>
      <c r="BD24" s="89">
        <v>0</v>
      </c>
      <c r="BE24" s="89">
        <v>0</v>
      </c>
      <c r="BF24" s="28">
        <f t="shared" si="12"/>
        <v>0</v>
      </c>
      <c r="BG24" s="89">
        <v>0</v>
      </c>
      <c r="BH24" s="89">
        <v>0</v>
      </c>
      <c r="BI24" s="89">
        <v>0</v>
      </c>
      <c r="BJ24" s="89">
        <v>0</v>
      </c>
      <c r="BK24" s="28">
        <f t="shared" si="5"/>
        <v>0</v>
      </c>
      <c r="BL24" s="89">
        <v>0</v>
      </c>
      <c r="BM24" s="89">
        <v>0</v>
      </c>
      <c r="BN24" s="89"/>
      <c r="BO24" s="89"/>
      <c r="BP24" s="28">
        <f t="shared" si="6"/>
        <v>0</v>
      </c>
    </row>
    <row r="25" spans="3:68">
      <c r="C25" s="103" t="s">
        <v>128</v>
      </c>
      <c r="D25" s="89">
        <v>216</v>
      </c>
      <c r="E25" s="89">
        <v>213</v>
      </c>
      <c r="F25" s="89">
        <v>214</v>
      </c>
      <c r="G25" s="90">
        <v>215</v>
      </c>
      <c r="H25" s="28">
        <v>215</v>
      </c>
      <c r="I25" s="89">
        <v>215</v>
      </c>
      <c r="J25" s="89">
        <v>245</v>
      </c>
      <c r="K25" s="89">
        <v>255</v>
      </c>
      <c r="L25" s="90">
        <v>273</v>
      </c>
      <c r="M25" s="28">
        <v>273</v>
      </c>
      <c r="N25" s="89">
        <v>258</v>
      </c>
      <c r="O25" s="89">
        <v>289</v>
      </c>
      <c r="P25" s="89">
        <v>796</v>
      </c>
      <c r="Q25" s="90">
        <v>984</v>
      </c>
      <c r="R25" s="28">
        <v>984</v>
      </c>
      <c r="S25" s="89">
        <v>937</v>
      </c>
      <c r="T25" s="89">
        <v>945</v>
      </c>
      <c r="U25" s="89">
        <v>957</v>
      </c>
      <c r="V25" s="89">
        <v>883</v>
      </c>
      <c r="W25" s="28">
        <v>883</v>
      </c>
      <c r="X25" s="89">
        <v>821</v>
      </c>
      <c r="Y25" s="89">
        <v>713</v>
      </c>
      <c r="Z25" s="89">
        <v>650</v>
      </c>
      <c r="AA25" s="89">
        <v>670</v>
      </c>
      <c r="AB25" s="28">
        <v>670</v>
      </c>
      <c r="AC25" s="89">
        <v>548</v>
      </c>
      <c r="AD25" s="89">
        <v>556</v>
      </c>
      <c r="AE25" s="89">
        <v>594</v>
      </c>
      <c r="AF25" s="89">
        <v>547</v>
      </c>
      <c r="AG25" s="28">
        <v>547</v>
      </c>
      <c r="AH25" s="89">
        <v>853</v>
      </c>
      <c r="AI25" s="89">
        <v>1051</v>
      </c>
      <c r="AJ25" s="89">
        <v>1094</v>
      </c>
      <c r="AK25" s="89">
        <v>1623</v>
      </c>
      <c r="AL25" s="28">
        <f t="shared" si="1"/>
        <v>1623</v>
      </c>
      <c r="AM25" s="89">
        <v>1613</v>
      </c>
      <c r="AN25" s="89">
        <v>1360</v>
      </c>
      <c r="AO25" s="89">
        <v>1623</v>
      </c>
      <c r="AP25" s="89">
        <v>1801</v>
      </c>
      <c r="AQ25" s="28">
        <f t="shared" si="2"/>
        <v>1801</v>
      </c>
      <c r="AR25" s="89">
        <v>1664</v>
      </c>
      <c r="AS25" s="89">
        <v>1557</v>
      </c>
      <c r="AT25" s="89">
        <v>1497</v>
      </c>
      <c r="AU25" s="89">
        <v>1530</v>
      </c>
      <c r="AV25" s="28">
        <f t="shared" si="3"/>
        <v>1530</v>
      </c>
      <c r="AW25" s="89">
        <v>1462</v>
      </c>
      <c r="AX25" s="89">
        <v>1414</v>
      </c>
      <c r="AY25" s="89">
        <v>1354</v>
      </c>
      <c r="AZ25" s="89">
        <v>1404</v>
      </c>
      <c r="BA25" s="28">
        <f t="shared" si="11"/>
        <v>1404</v>
      </c>
      <c r="BB25" s="89">
        <v>1340</v>
      </c>
      <c r="BC25" s="89">
        <v>1189</v>
      </c>
      <c r="BD25" s="89">
        <v>1105</v>
      </c>
      <c r="BE25" s="89">
        <v>1294</v>
      </c>
      <c r="BF25" s="28">
        <f t="shared" si="12"/>
        <v>1294</v>
      </c>
      <c r="BG25" s="89">
        <v>1241</v>
      </c>
      <c r="BH25" s="89">
        <v>1225</v>
      </c>
      <c r="BI25" s="89">
        <v>990</v>
      </c>
      <c r="BJ25" s="89">
        <v>942</v>
      </c>
      <c r="BK25" s="28">
        <f t="shared" si="5"/>
        <v>942</v>
      </c>
      <c r="BL25" s="89">
        <v>924</v>
      </c>
      <c r="BM25" s="89">
        <v>875</v>
      </c>
      <c r="BN25" s="89"/>
      <c r="BO25" s="89"/>
      <c r="BP25" s="28">
        <f t="shared" si="6"/>
        <v>875</v>
      </c>
    </row>
    <row r="26" spans="3:68">
      <c r="C26" s="103" t="s">
        <v>114</v>
      </c>
      <c r="D26" s="89"/>
      <c r="E26" s="89"/>
      <c r="F26" s="89"/>
      <c r="G26" s="89"/>
      <c r="H26" s="28"/>
      <c r="I26" s="89"/>
      <c r="J26" s="89"/>
      <c r="K26" s="89"/>
      <c r="L26" s="89"/>
      <c r="M26" s="28"/>
      <c r="N26" s="89"/>
      <c r="O26" s="89"/>
      <c r="P26" s="89"/>
      <c r="Q26" s="89"/>
      <c r="R26" s="28"/>
      <c r="S26" s="89"/>
      <c r="T26" s="89"/>
      <c r="U26" s="89"/>
      <c r="V26" s="89"/>
      <c r="W26" s="28"/>
      <c r="X26" s="89"/>
      <c r="Y26" s="89"/>
      <c r="Z26" s="89"/>
      <c r="AA26" s="89"/>
      <c r="AB26" s="28"/>
      <c r="AC26" s="89"/>
      <c r="AD26" s="89"/>
      <c r="AE26" s="89"/>
      <c r="AF26" s="89"/>
      <c r="AG26" s="28">
        <v>0</v>
      </c>
      <c r="AH26" s="89">
        <v>0</v>
      </c>
      <c r="AI26" s="89">
        <v>0</v>
      </c>
      <c r="AJ26" s="89">
        <v>0</v>
      </c>
      <c r="AK26" s="89">
        <v>81</v>
      </c>
      <c r="AL26" s="28">
        <f t="shared" si="1"/>
        <v>81</v>
      </c>
      <c r="AM26" s="89">
        <v>97</v>
      </c>
      <c r="AN26" s="89">
        <v>102</v>
      </c>
      <c r="AO26" s="89">
        <v>126</v>
      </c>
      <c r="AP26" s="89">
        <v>124</v>
      </c>
      <c r="AQ26" s="28">
        <f t="shared" si="2"/>
        <v>124</v>
      </c>
      <c r="AR26" s="89">
        <v>150</v>
      </c>
      <c r="AS26" s="89">
        <v>174</v>
      </c>
      <c r="AT26" s="89">
        <v>206</v>
      </c>
      <c r="AU26" s="89">
        <v>176</v>
      </c>
      <c r="AV26" s="28">
        <f t="shared" si="3"/>
        <v>176</v>
      </c>
      <c r="AW26" s="89">
        <v>168</v>
      </c>
      <c r="AX26" s="89">
        <v>171</v>
      </c>
      <c r="AY26" s="89">
        <v>202</v>
      </c>
      <c r="AZ26" s="89">
        <v>213</v>
      </c>
      <c r="BA26" s="28">
        <f t="shared" si="11"/>
        <v>213</v>
      </c>
      <c r="BB26" s="89">
        <v>198</v>
      </c>
      <c r="BC26" s="89">
        <v>255</v>
      </c>
      <c r="BD26" s="89">
        <v>301</v>
      </c>
      <c r="BE26" s="89">
        <v>261</v>
      </c>
      <c r="BF26" s="28">
        <f t="shared" si="12"/>
        <v>261</v>
      </c>
      <c r="BG26" s="89">
        <v>262</v>
      </c>
      <c r="BH26" s="89">
        <v>260</v>
      </c>
      <c r="BI26" s="89">
        <v>224</v>
      </c>
      <c r="BJ26" s="89">
        <v>183</v>
      </c>
      <c r="BK26" s="28">
        <f t="shared" si="5"/>
        <v>183</v>
      </c>
      <c r="BL26" s="89">
        <v>207</v>
      </c>
      <c r="BM26" s="89">
        <v>224</v>
      </c>
      <c r="BN26" s="89"/>
      <c r="BO26" s="89"/>
      <c r="BP26" s="28">
        <f t="shared" si="6"/>
        <v>224</v>
      </c>
    </row>
    <row r="27" spans="3:68">
      <c r="C27" s="103" t="s">
        <v>240</v>
      </c>
      <c r="D27" s="89">
        <v>0</v>
      </c>
      <c r="E27" s="89">
        <v>0</v>
      </c>
      <c r="F27" s="89">
        <v>0</v>
      </c>
      <c r="G27" s="89">
        <v>0</v>
      </c>
      <c r="H27" s="28">
        <v>0</v>
      </c>
      <c r="I27" s="89">
        <v>0</v>
      </c>
      <c r="J27" s="89">
        <v>0</v>
      </c>
      <c r="K27" s="89">
        <v>0</v>
      </c>
      <c r="L27" s="89">
        <v>0</v>
      </c>
      <c r="M27" s="28">
        <v>0</v>
      </c>
      <c r="N27" s="89">
        <v>0</v>
      </c>
      <c r="O27" s="89">
        <v>0</v>
      </c>
      <c r="P27" s="89">
        <v>0</v>
      </c>
      <c r="Q27" s="89"/>
      <c r="R27" s="28">
        <v>0</v>
      </c>
      <c r="S27" s="89">
        <v>0</v>
      </c>
      <c r="T27" s="89">
        <v>0</v>
      </c>
      <c r="U27" s="89">
        <v>0</v>
      </c>
      <c r="V27" s="89">
        <v>0</v>
      </c>
      <c r="W27" s="28">
        <v>0</v>
      </c>
      <c r="X27" s="89">
        <v>0</v>
      </c>
      <c r="Y27" s="89">
        <v>0</v>
      </c>
      <c r="Z27" s="89">
        <v>0</v>
      </c>
      <c r="AA27" s="89">
        <v>0</v>
      </c>
      <c r="AB27" s="28">
        <v>0</v>
      </c>
      <c r="AC27" s="89">
        <v>0</v>
      </c>
      <c r="AD27" s="89">
        <v>0</v>
      </c>
      <c r="AE27" s="89">
        <v>0</v>
      </c>
      <c r="AF27" s="89">
        <v>0</v>
      </c>
      <c r="AG27" s="28">
        <v>0</v>
      </c>
      <c r="AH27" s="89">
        <v>0</v>
      </c>
      <c r="AI27" s="89">
        <v>0</v>
      </c>
      <c r="AJ27" s="89">
        <v>0</v>
      </c>
      <c r="AK27" s="89">
        <v>0</v>
      </c>
      <c r="AL27" s="28">
        <f t="shared" si="1"/>
        <v>0</v>
      </c>
      <c r="AM27" s="89">
        <v>0</v>
      </c>
      <c r="AN27" s="89">
        <v>0</v>
      </c>
      <c r="AO27" s="89">
        <v>0</v>
      </c>
      <c r="AP27" s="89">
        <v>0</v>
      </c>
      <c r="AQ27" s="28">
        <f t="shared" si="2"/>
        <v>0</v>
      </c>
      <c r="AR27" s="89">
        <v>0</v>
      </c>
      <c r="AS27" s="89">
        <v>0</v>
      </c>
      <c r="AT27" s="89">
        <v>0</v>
      </c>
      <c r="AU27" s="89">
        <v>0</v>
      </c>
      <c r="AV27" s="28">
        <f t="shared" si="3"/>
        <v>0</v>
      </c>
      <c r="AW27" s="89">
        <v>0</v>
      </c>
      <c r="AX27" s="89">
        <v>0</v>
      </c>
      <c r="AY27" s="89">
        <v>0</v>
      </c>
      <c r="AZ27" s="89">
        <v>0</v>
      </c>
      <c r="BA27" s="28">
        <f t="shared" si="11"/>
        <v>0</v>
      </c>
      <c r="BB27" s="89">
        <v>0</v>
      </c>
      <c r="BC27" s="89">
        <v>0</v>
      </c>
      <c r="BD27" s="89">
        <v>0</v>
      </c>
      <c r="BE27" s="89">
        <v>0</v>
      </c>
      <c r="BF27" s="28">
        <f t="shared" si="12"/>
        <v>0</v>
      </c>
      <c r="BG27" s="89">
        <v>0</v>
      </c>
      <c r="BH27" s="89">
        <v>0</v>
      </c>
      <c r="BI27" s="89">
        <v>0</v>
      </c>
      <c r="BJ27" s="89">
        <v>0</v>
      </c>
      <c r="BK27" s="28">
        <f t="shared" si="5"/>
        <v>0</v>
      </c>
      <c r="BL27" s="89">
        <v>0</v>
      </c>
      <c r="BM27" s="89">
        <v>0</v>
      </c>
      <c r="BN27" s="89"/>
      <c r="BO27" s="89"/>
      <c r="BP27" s="28">
        <f t="shared" si="6"/>
        <v>0</v>
      </c>
    </row>
    <row r="28" spans="3:68">
      <c r="C28" s="103" t="s">
        <v>131</v>
      </c>
      <c r="D28" s="89">
        <v>109</v>
      </c>
      <c r="E28" s="89">
        <v>108</v>
      </c>
      <c r="F28" s="89">
        <v>99</v>
      </c>
      <c r="G28" s="90">
        <v>85</v>
      </c>
      <c r="H28" s="28">
        <v>85</v>
      </c>
      <c r="I28" s="89">
        <v>77</v>
      </c>
      <c r="J28" s="89">
        <v>78</v>
      </c>
      <c r="K28" s="89">
        <v>78</v>
      </c>
      <c r="L28" s="90">
        <v>81</v>
      </c>
      <c r="M28" s="28">
        <v>81</v>
      </c>
      <c r="N28" s="89">
        <v>93</v>
      </c>
      <c r="O28" s="19">
        <v>95</v>
      </c>
      <c r="P28" s="89">
        <v>90</v>
      </c>
      <c r="Q28" s="90">
        <v>83</v>
      </c>
      <c r="R28" s="28">
        <v>83</v>
      </c>
      <c r="S28" s="89">
        <v>104</v>
      </c>
      <c r="T28" s="89">
        <v>111</v>
      </c>
      <c r="U28" s="89">
        <v>184</v>
      </c>
      <c r="V28" s="89">
        <v>196</v>
      </c>
      <c r="W28" s="28">
        <v>196</v>
      </c>
      <c r="X28" s="89">
        <v>190</v>
      </c>
      <c r="Y28" s="89">
        <v>188</v>
      </c>
      <c r="Z28" s="89">
        <v>174</v>
      </c>
      <c r="AA28" s="89">
        <v>199</v>
      </c>
      <c r="AB28" s="28">
        <v>199</v>
      </c>
      <c r="AC28" s="89">
        <v>204</v>
      </c>
      <c r="AD28" s="89">
        <v>192</v>
      </c>
      <c r="AE28" s="89">
        <v>195</v>
      </c>
      <c r="AF28" s="89">
        <v>231</v>
      </c>
      <c r="AG28" s="28">
        <v>231</v>
      </c>
      <c r="AH28" s="89">
        <v>198</v>
      </c>
      <c r="AI28" s="89">
        <v>177</v>
      </c>
      <c r="AJ28" s="89">
        <v>169</v>
      </c>
      <c r="AK28" s="89">
        <v>150</v>
      </c>
      <c r="AL28" s="28">
        <f t="shared" si="1"/>
        <v>150</v>
      </c>
      <c r="AM28" s="89">
        <v>137</v>
      </c>
      <c r="AN28" s="89">
        <v>131</v>
      </c>
      <c r="AO28" s="89">
        <v>124</v>
      </c>
      <c r="AP28" s="89">
        <v>160</v>
      </c>
      <c r="AQ28" s="28">
        <f t="shared" si="2"/>
        <v>160</v>
      </c>
      <c r="AR28" s="89">
        <v>168</v>
      </c>
      <c r="AS28" s="89">
        <v>169</v>
      </c>
      <c r="AT28" s="89">
        <v>140</v>
      </c>
      <c r="AU28" s="89">
        <v>152</v>
      </c>
      <c r="AV28" s="28">
        <f t="shared" si="3"/>
        <v>152</v>
      </c>
      <c r="AW28" s="89">
        <v>125</v>
      </c>
      <c r="AX28" s="89">
        <v>105</v>
      </c>
      <c r="AY28" s="89">
        <v>84</v>
      </c>
      <c r="AZ28" s="89">
        <v>55</v>
      </c>
      <c r="BA28" s="28">
        <f t="shared" si="11"/>
        <v>55</v>
      </c>
      <c r="BB28" s="89">
        <v>56</v>
      </c>
      <c r="BC28" s="89">
        <v>66</v>
      </c>
      <c r="BD28" s="89">
        <v>92</v>
      </c>
      <c r="BE28" s="89">
        <v>130</v>
      </c>
      <c r="BF28" s="28">
        <f t="shared" si="12"/>
        <v>130</v>
      </c>
      <c r="BG28" s="89">
        <v>148</v>
      </c>
      <c r="BH28" s="89">
        <v>172</v>
      </c>
      <c r="BI28" s="89">
        <v>193</v>
      </c>
      <c r="BJ28" s="89">
        <v>239</v>
      </c>
      <c r="BK28" s="28">
        <f t="shared" si="5"/>
        <v>239</v>
      </c>
      <c r="BL28" s="89">
        <v>227</v>
      </c>
      <c r="BM28" s="89">
        <v>241</v>
      </c>
      <c r="BN28" s="89"/>
      <c r="BO28" s="89"/>
      <c r="BP28" s="28">
        <f t="shared" si="6"/>
        <v>241</v>
      </c>
    </row>
    <row r="29" spans="3:68">
      <c r="C29" s="103" t="s">
        <v>117</v>
      </c>
      <c r="D29" s="89">
        <v>252</v>
      </c>
      <c r="E29" s="89">
        <v>248</v>
      </c>
      <c r="F29" s="89">
        <v>253</v>
      </c>
      <c r="G29" s="90">
        <v>654</v>
      </c>
      <c r="H29" s="28">
        <v>654</v>
      </c>
      <c r="I29" s="89">
        <v>724</v>
      </c>
      <c r="J29" s="89">
        <v>715</v>
      </c>
      <c r="K29" s="89">
        <v>718</v>
      </c>
      <c r="L29" s="90">
        <v>789</v>
      </c>
      <c r="M29" s="28">
        <v>789</v>
      </c>
      <c r="N29" s="89">
        <v>772</v>
      </c>
      <c r="O29" s="89">
        <v>788</v>
      </c>
      <c r="P29" s="89">
        <v>785</v>
      </c>
      <c r="Q29" s="90">
        <v>881</v>
      </c>
      <c r="R29" s="28">
        <v>881</v>
      </c>
      <c r="S29" s="89">
        <v>941</v>
      </c>
      <c r="T29" s="89">
        <v>956</v>
      </c>
      <c r="U29" s="89">
        <v>863</v>
      </c>
      <c r="V29" s="89">
        <v>931</v>
      </c>
      <c r="W29" s="28">
        <v>931</v>
      </c>
      <c r="X29" s="89">
        <v>884</v>
      </c>
      <c r="Y29" s="89">
        <v>839</v>
      </c>
      <c r="Z29" s="89">
        <v>932</v>
      </c>
      <c r="AA29" s="89">
        <v>914</v>
      </c>
      <c r="AB29" s="28">
        <v>914</v>
      </c>
      <c r="AC29" s="89">
        <v>917</v>
      </c>
      <c r="AD29" s="89">
        <v>904</v>
      </c>
      <c r="AE29" s="89">
        <v>739</v>
      </c>
      <c r="AF29" s="89">
        <v>711</v>
      </c>
      <c r="AG29" s="28">
        <v>711</v>
      </c>
      <c r="AH29" s="89">
        <v>723</v>
      </c>
      <c r="AI29" s="89">
        <v>732</v>
      </c>
      <c r="AJ29" s="89">
        <v>746</v>
      </c>
      <c r="AK29" s="89">
        <v>795</v>
      </c>
      <c r="AL29" s="28">
        <f t="shared" si="1"/>
        <v>795</v>
      </c>
      <c r="AM29" s="89">
        <v>780</v>
      </c>
      <c r="AN29" s="89">
        <v>781</v>
      </c>
      <c r="AO29" s="89">
        <v>808</v>
      </c>
      <c r="AP29" s="89">
        <v>805</v>
      </c>
      <c r="AQ29" s="28">
        <f t="shared" si="2"/>
        <v>805</v>
      </c>
      <c r="AR29" s="89">
        <v>777</v>
      </c>
      <c r="AS29" s="89">
        <v>757</v>
      </c>
      <c r="AT29" s="89">
        <v>764</v>
      </c>
      <c r="AU29" s="89">
        <v>785</v>
      </c>
      <c r="AV29" s="28">
        <f t="shared" si="3"/>
        <v>785</v>
      </c>
      <c r="AW29" s="89">
        <v>844</v>
      </c>
      <c r="AX29" s="89">
        <v>836</v>
      </c>
      <c r="AY29" s="89">
        <v>823</v>
      </c>
      <c r="AZ29" s="89">
        <v>365</v>
      </c>
      <c r="BA29" s="28">
        <f t="shared" si="11"/>
        <v>365</v>
      </c>
      <c r="BB29" s="89">
        <v>418</v>
      </c>
      <c r="BC29" s="89">
        <v>461</v>
      </c>
      <c r="BD29" s="89">
        <v>453</v>
      </c>
      <c r="BE29" s="89">
        <v>190</v>
      </c>
      <c r="BF29" s="28">
        <f t="shared" si="12"/>
        <v>190</v>
      </c>
      <c r="BG29" s="89">
        <v>195</v>
      </c>
      <c r="BH29" s="89">
        <v>226</v>
      </c>
      <c r="BI29" s="89">
        <v>260</v>
      </c>
      <c r="BJ29" s="89">
        <v>70</v>
      </c>
      <c r="BK29" s="28">
        <f t="shared" si="5"/>
        <v>70</v>
      </c>
      <c r="BL29" s="89">
        <v>77</v>
      </c>
      <c r="BM29" s="89">
        <v>185</v>
      </c>
      <c r="BN29" s="89"/>
      <c r="BO29" s="89"/>
      <c r="BP29" s="28">
        <f t="shared" si="6"/>
        <v>185</v>
      </c>
    </row>
    <row r="30" spans="3:68" ht="13.5">
      <c r="C30" s="103" t="s">
        <v>132</v>
      </c>
      <c r="D30" s="150">
        <v>37</v>
      </c>
      <c r="E30" s="150">
        <v>44</v>
      </c>
      <c r="F30" s="150">
        <v>38</v>
      </c>
      <c r="G30" s="153">
        <v>38</v>
      </c>
      <c r="H30" s="105">
        <v>38</v>
      </c>
      <c r="I30" s="150">
        <v>48</v>
      </c>
      <c r="J30" s="150">
        <v>99</v>
      </c>
      <c r="K30" s="150">
        <v>101</v>
      </c>
      <c r="L30" s="153">
        <v>111</v>
      </c>
      <c r="M30" s="105">
        <v>111</v>
      </c>
      <c r="N30" s="150">
        <v>111</v>
      </c>
      <c r="O30" s="150">
        <v>108</v>
      </c>
      <c r="P30" s="150">
        <v>111</v>
      </c>
      <c r="Q30" s="153">
        <v>123</v>
      </c>
      <c r="R30" s="105">
        <v>123</v>
      </c>
      <c r="S30" s="150">
        <v>117</v>
      </c>
      <c r="T30" s="150">
        <v>119</v>
      </c>
      <c r="U30" s="150">
        <v>122</v>
      </c>
      <c r="V30" s="150">
        <v>332</v>
      </c>
      <c r="W30" s="105">
        <v>332</v>
      </c>
      <c r="X30" s="150">
        <v>246</v>
      </c>
      <c r="Y30" s="150">
        <v>249</v>
      </c>
      <c r="Z30" s="150">
        <v>259</v>
      </c>
      <c r="AA30" s="150">
        <v>282</v>
      </c>
      <c r="AB30" s="105">
        <v>282</v>
      </c>
      <c r="AC30" s="150">
        <v>296</v>
      </c>
      <c r="AD30" s="150">
        <v>280</v>
      </c>
      <c r="AE30" s="150">
        <v>255</v>
      </c>
      <c r="AF30" s="150">
        <v>248</v>
      </c>
      <c r="AG30" s="105">
        <v>248</v>
      </c>
      <c r="AH30" s="150">
        <v>230</v>
      </c>
      <c r="AI30" s="150">
        <v>230</v>
      </c>
      <c r="AJ30" s="150">
        <v>235</v>
      </c>
      <c r="AK30" s="150">
        <v>235</v>
      </c>
      <c r="AL30" s="105">
        <f t="shared" si="1"/>
        <v>235</v>
      </c>
      <c r="AM30" s="150">
        <v>246</v>
      </c>
      <c r="AN30" s="150">
        <v>328</v>
      </c>
      <c r="AO30" s="150">
        <v>344</v>
      </c>
      <c r="AP30" s="150">
        <v>329</v>
      </c>
      <c r="AQ30" s="105">
        <f t="shared" si="2"/>
        <v>329</v>
      </c>
      <c r="AR30" s="150">
        <v>345</v>
      </c>
      <c r="AS30" s="150">
        <v>361</v>
      </c>
      <c r="AT30" s="150">
        <v>363</v>
      </c>
      <c r="AU30" s="150">
        <v>432</v>
      </c>
      <c r="AV30" s="105">
        <f t="shared" si="3"/>
        <v>432</v>
      </c>
      <c r="AW30" s="150">
        <v>386</v>
      </c>
      <c r="AX30" s="150">
        <v>402</v>
      </c>
      <c r="AY30" s="150">
        <v>401</v>
      </c>
      <c r="AZ30" s="150">
        <v>399</v>
      </c>
      <c r="BA30" s="105">
        <f>AZ30</f>
        <v>399</v>
      </c>
      <c r="BB30" s="150">
        <v>400</v>
      </c>
      <c r="BC30" s="150">
        <v>385</v>
      </c>
      <c r="BD30" s="150">
        <v>411</v>
      </c>
      <c r="BE30" s="150">
        <v>445</v>
      </c>
      <c r="BF30" s="105">
        <f>BE30</f>
        <v>445</v>
      </c>
      <c r="BG30" s="150">
        <v>468</v>
      </c>
      <c r="BH30" s="150">
        <v>444</v>
      </c>
      <c r="BI30" s="150">
        <v>457</v>
      </c>
      <c r="BJ30" s="150">
        <v>467</v>
      </c>
      <c r="BK30" s="105">
        <f t="shared" si="5"/>
        <v>467</v>
      </c>
      <c r="BL30" s="150">
        <v>411</v>
      </c>
      <c r="BM30" s="150">
        <v>418</v>
      </c>
      <c r="BN30" s="150"/>
      <c r="BO30" s="150"/>
      <c r="BP30" s="105">
        <f t="shared" si="6"/>
        <v>418</v>
      </c>
    </row>
    <row r="31" spans="3:68" s="39" customFormat="1" ht="13.5">
      <c r="C31" s="102" t="s">
        <v>241</v>
      </c>
      <c r="D31" s="263">
        <f t="shared" ref="D31:R31" si="13">SUM(D20:D30)</f>
        <v>2381</v>
      </c>
      <c r="E31" s="263">
        <f t="shared" si="13"/>
        <v>2362</v>
      </c>
      <c r="F31" s="263">
        <f t="shared" si="13"/>
        <v>2364</v>
      </c>
      <c r="G31" s="263">
        <f>SUM(G20:G30)</f>
        <v>3064</v>
      </c>
      <c r="H31" s="262">
        <f t="shared" si="13"/>
        <v>3064</v>
      </c>
      <c r="I31" s="263">
        <f t="shared" si="13"/>
        <v>3293</v>
      </c>
      <c r="J31" s="263">
        <f t="shared" si="13"/>
        <v>3328</v>
      </c>
      <c r="K31" s="263">
        <f t="shared" si="13"/>
        <v>3402</v>
      </c>
      <c r="L31" s="263">
        <f t="shared" si="13"/>
        <v>3576</v>
      </c>
      <c r="M31" s="262">
        <f t="shared" si="13"/>
        <v>3576</v>
      </c>
      <c r="N31" s="263">
        <f t="shared" si="13"/>
        <v>3577</v>
      </c>
      <c r="O31" s="263">
        <f t="shared" si="13"/>
        <v>3678</v>
      </c>
      <c r="P31" s="263">
        <f t="shared" si="13"/>
        <v>4158</v>
      </c>
      <c r="Q31" s="263">
        <f t="shared" si="13"/>
        <v>4572</v>
      </c>
      <c r="R31" s="262">
        <f t="shared" si="13"/>
        <v>4572</v>
      </c>
      <c r="S31" s="263">
        <f t="shared" ref="S31:Y31" si="14">SUM(S20:S30)</f>
        <v>4619</v>
      </c>
      <c r="T31" s="263">
        <f t="shared" si="14"/>
        <v>4632</v>
      </c>
      <c r="U31" s="263">
        <f t="shared" si="14"/>
        <v>4656</v>
      </c>
      <c r="V31" s="263">
        <f t="shared" si="14"/>
        <v>4582</v>
      </c>
      <c r="W31" s="262">
        <f t="shared" si="14"/>
        <v>4582</v>
      </c>
      <c r="X31" s="263">
        <f t="shared" si="14"/>
        <v>4325</v>
      </c>
      <c r="Y31" s="263">
        <f t="shared" si="14"/>
        <v>4090</v>
      </c>
      <c r="Z31" s="263">
        <f t="shared" ref="Z31:AU31" si="15">SUM(Z20:Z30)</f>
        <v>4454</v>
      </c>
      <c r="AA31" s="263">
        <f t="shared" si="15"/>
        <v>4608</v>
      </c>
      <c r="AB31" s="262">
        <f t="shared" si="15"/>
        <v>4608</v>
      </c>
      <c r="AC31" s="263">
        <f t="shared" si="15"/>
        <v>5204</v>
      </c>
      <c r="AD31" s="263">
        <f t="shared" si="15"/>
        <v>5129</v>
      </c>
      <c r="AE31" s="263">
        <f t="shared" si="15"/>
        <v>4988</v>
      </c>
      <c r="AF31" s="263">
        <f t="shared" si="15"/>
        <v>5048</v>
      </c>
      <c r="AG31" s="262">
        <f t="shared" si="15"/>
        <v>5048</v>
      </c>
      <c r="AH31" s="263">
        <f t="shared" si="15"/>
        <v>5314</v>
      </c>
      <c r="AI31" s="263">
        <f t="shared" si="15"/>
        <v>5592</v>
      </c>
      <c r="AJ31" s="263">
        <f t="shared" si="15"/>
        <v>5882</v>
      </c>
      <c r="AK31" s="263">
        <f t="shared" si="15"/>
        <v>6518</v>
      </c>
      <c r="AL31" s="262">
        <f t="shared" si="15"/>
        <v>6518</v>
      </c>
      <c r="AM31" s="263">
        <f t="shared" si="15"/>
        <v>6417</v>
      </c>
      <c r="AN31" s="263">
        <f t="shared" si="15"/>
        <v>6211</v>
      </c>
      <c r="AO31" s="263">
        <f t="shared" si="15"/>
        <v>6520</v>
      </c>
      <c r="AP31" s="263">
        <f t="shared" si="15"/>
        <v>6690</v>
      </c>
      <c r="AQ31" s="262">
        <f t="shared" si="2"/>
        <v>6690</v>
      </c>
      <c r="AR31" s="263">
        <f t="shared" si="15"/>
        <v>6511</v>
      </c>
      <c r="AS31" s="263">
        <f t="shared" si="15"/>
        <v>6429</v>
      </c>
      <c r="AT31" s="263">
        <f t="shared" si="15"/>
        <v>6473</v>
      </c>
      <c r="AU31" s="263">
        <f t="shared" si="15"/>
        <v>6686</v>
      </c>
      <c r="AV31" s="262">
        <f t="shared" si="3"/>
        <v>6686</v>
      </c>
      <c r="AW31" s="263">
        <f>SUM(AW20:AW30)</f>
        <v>6564</v>
      </c>
      <c r="AX31" s="263">
        <f>SUM(AX20:AX30)</f>
        <v>6410</v>
      </c>
      <c r="AY31" s="263">
        <f>SUM(AY20:AY30)</f>
        <v>6314</v>
      </c>
      <c r="AZ31" s="263">
        <f>SUM(AZ20:AZ30)</f>
        <v>5801</v>
      </c>
      <c r="BA31" s="262">
        <f>AZ31</f>
        <v>5801</v>
      </c>
      <c r="BB31" s="263">
        <f>SUM(BB20:BB30)</f>
        <v>5752</v>
      </c>
      <c r="BC31" s="263">
        <f>SUM(BC20:BC30)</f>
        <v>6244</v>
      </c>
      <c r="BD31" s="263">
        <f>SUM(BD20:BD30)</f>
        <v>6053</v>
      </c>
      <c r="BE31" s="263">
        <f>SUM(BE20:BE30)</f>
        <v>6060</v>
      </c>
      <c r="BF31" s="262">
        <f>BE31</f>
        <v>6060</v>
      </c>
      <c r="BG31" s="263">
        <f>SUM(BG20:BG30)</f>
        <v>6203</v>
      </c>
      <c r="BH31" s="263">
        <f>SUM(BH20:BH30)</f>
        <v>6151</v>
      </c>
      <c r="BI31" s="263">
        <f>SUM(BI20:BI30)</f>
        <v>5888</v>
      </c>
      <c r="BJ31" s="263">
        <f>SUM(BJ20:BJ30)</f>
        <v>5534</v>
      </c>
      <c r="BK31" s="262">
        <f t="shared" si="5"/>
        <v>5534</v>
      </c>
      <c r="BL31" s="263">
        <f>SUM(BL20:BL30)</f>
        <v>5954</v>
      </c>
      <c r="BM31" s="263">
        <f>SUM(BM20:BM30)</f>
        <v>6025</v>
      </c>
      <c r="BN31" s="263"/>
      <c r="BO31" s="263"/>
      <c r="BP31" s="262">
        <f t="shared" si="6"/>
        <v>6025</v>
      </c>
    </row>
    <row r="32" spans="3:68">
      <c r="C32" s="102" t="s">
        <v>242</v>
      </c>
      <c r="D32" s="23">
        <f t="shared" ref="D32:R32" si="16">D18+D31</f>
        <v>9625</v>
      </c>
      <c r="E32" s="23">
        <f t="shared" si="16"/>
        <v>9989</v>
      </c>
      <c r="F32" s="23">
        <f t="shared" si="16"/>
        <v>10028</v>
      </c>
      <c r="G32" s="23">
        <f t="shared" si="16"/>
        <v>10615</v>
      </c>
      <c r="H32" s="24">
        <f t="shared" si="16"/>
        <v>10615</v>
      </c>
      <c r="I32" s="23">
        <f t="shared" si="16"/>
        <v>10587</v>
      </c>
      <c r="J32" s="23">
        <f t="shared" si="16"/>
        <v>10810</v>
      </c>
      <c r="K32" s="23">
        <f t="shared" si="16"/>
        <v>10771</v>
      </c>
      <c r="L32" s="23">
        <f t="shared" si="16"/>
        <v>11378</v>
      </c>
      <c r="M32" s="24">
        <f t="shared" si="16"/>
        <v>11378</v>
      </c>
      <c r="N32" s="23">
        <f t="shared" si="16"/>
        <v>11317</v>
      </c>
      <c r="O32" s="23">
        <f t="shared" si="16"/>
        <v>11875</v>
      </c>
      <c r="P32" s="23">
        <f t="shared" si="16"/>
        <v>11870</v>
      </c>
      <c r="Q32" s="23">
        <f t="shared" si="16"/>
        <v>12854</v>
      </c>
      <c r="R32" s="24">
        <f t="shared" si="16"/>
        <v>12854</v>
      </c>
      <c r="S32" s="23">
        <f t="shared" ref="S32:Y32" si="17">S18+S31</f>
        <v>13178</v>
      </c>
      <c r="T32" s="23">
        <f t="shared" si="17"/>
        <v>13551</v>
      </c>
      <c r="U32" s="23">
        <f t="shared" si="17"/>
        <v>11889</v>
      </c>
      <c r="V32" s="23">
        <f t="shared" si="17"/>
        <v>12255</v>
      </c>
      <c r="W32" s="24">
        <f t="shared" si="17"/>
        <v>12255</v>
      </c>
      <c r="X32" s="23">
        <f t="shared" si="17"/>
        <v>11406</v>
      </c>
      <c r="Y32" s="23">
        <f t="shared" si="17"/>
        <v>11288</v>
      </c>
      <c r="Z32" s="23">
        <f t="shared" ref="Z32:AU32" si="18">Z18+Z31</f>
        <v>11872</v>
      </c>
      <c r="AA32" s="23">
        <f t="shared" si="18"/>
        <v>12252</v>
      </c>
      <c r="AB32" s="24">
        <f t="shared" si="18"/>
        <v>12252</v>
      </c>
      <c r="AC32" s="23">
        <f t="shared" si="18"/>
        <v>12417</v>
      </c>
      <c r="AD32" s="23">
        <f t="shared" si="18"/>
        <v>12021</v>
      </c>
      <c r="AE32" s="23">
        <f t="shared" si="18"/>
        <v>12110</v>
      </c>
      <c r="AF32" s="23">
        <f t="shared" si="18"/>
        <v>12260</v>
      </c>
      <c r="AG32" s="24">
        <f t="shared" si="18"/>
        <v>12260</v>
      </c>
      <c r="AH32" s="23">
        <f t="shared" si="18"/>
        <v>13037</v>
      </c>
      <c r="AI32" s="23">
        <f t="shared" si="18"/>
        <v>13363</v>
      </c>
      <c r="AJ32" s="23">
        <f t="shared" si="18"/>
        <v>13869</v>
      </c>
      <c r="AK32" s="23">
        <f t="shared" si="18"/>
        <v>14825</v>
      </c>
      <c r="AL32" s="24">
        <f t="shared" si="18"/>
        <v>14825</v>
      </c>
      <c r="AM32" s="23">
        <f t="shared" si="18"/>
        <v>14730</v>
      </c>
      <c r="AN32" s="23">
        <f t="shared" si="18"/>
        <v>14295</v>
      </c>
      <c r="AO32" s="23">
        <f t="shared" si="18"/>
        <v>14673</v>
      </c>
      <c r="AP32" s="23">
        <f t="shared" si="18"/>
        <v>15555</v>
      </c>
      <c r="AQ32" s="24">
        <f t="shared" si="2"/>
        <v>15555</v>
      </c>
      <c r="AR32" s="23">
        <f t="shared" si="18"/>
        <v>15193</v>
      </c>
      <c r="AS32" s="23">
        <f t="shared" si="18"/>
        <v>15640</v>
      </c>
      <c r="AT32" s="23">
        <f t="shared" si="18"/>
        <v>15226</v>
      </c>
      <c r="AU32" s="23">
        <f t="shared" si="18"/>
        <v>15312</v>
      </c>
      <c r="AV32" s="24">
        <f t="shared" si="3"/>
        <v>15312</v>
      </c>
      <c r="AW32" s="23">
        <f>AW31+AW18</f>
        <v>16007</v>
      </c>
      <c r="AX32" s="23">
        <f>AX31+AX18</f>
        <v>15689</v>
      </c>
      <c r="AY32" s="23">
        <f>AY31+AY18</f>
        <v>15606</v>
      </c>
      <c r="AZ32" s="23">
        <f>AZ31+AZ18</f>
        <v>16523</v>
      </c>
      <c r="BA32" s="24">
        <f>AZ32</f>
        <v>16523</v>
      </c>
      <c r="BB32" s="23">
        <f>BB31+BB18</f>
        <v>17270</v>
      </c>
      <c r="BC32" s="23">
        <f>BC31+BC18</f>
        <v>16928</v>
      </c>
      <c r="BD32" s="23">
        <f>BD31+BD18</f>
        <v>16291</v>
      </c>
      <c r="BE32" s="23">
        <f>BE31+BE18</f>
        <v>17419</v>
      </c>
      <c r="BF32" s="24">
        <f>BE32</f>
        <v>17419</v>
      </c>
      <c r="BG32" s="23">
        <f>BG31+BG18</f>
        <v>17447</v>
      </c>
      <c r="BH32" s="23">
        <f>BH31+BH18</f>
        <v>18064</v>
      </c>
      <c r="BI32" s="23">
        <f>BI31+BI18</f>
        <v>15953</v>
      </c>
      <c r="BJ32" s="23">
        <f>BJ31+BJ18</f>
        <v>16446</v>
      </c>
      <c r="BK32" s="24">
        <f t="shared" si="5"/>
        <v>16446</v>
      </c>
      <c r="BL32" s="23">
        <f>BL31+BL18</f>
        <v>16359</v>
      </c>
      <c r="BM32" s="23">
        <f>BM31+BM18</f>
        <v>17060</v>
      </c>
      <c r="BN32" s="23"/>
      <c r="BO32" s="23"/>
      <c r="BP32" s="24">
        <f t="shared" si="6"/>
        <v>17060</v>
      </c>
    </row>
    <row r="33" spans="3:68">
      <c r="C33" s="103"/>
      <c r="D33" s="89"/>
      <c r="E33" s="89"/>
      <c r="F33" s="89"/>
      <c r="G33" s="90"/>
      <c r="H33" s="28"/>
      <c r="I33" s="89"/>
      <c r="J33" s="89"/>
      <c r="K33" s="89"/>
      <c r="L33" s="90"/>
      <c r="M33" s="28"/>
      <c r="N33" s="89"/>
      <c r="O33" s="89"/>
      <c r="P33" s="89"/>
      <c r="Q33" s="90"/>
      <c r="R33" s="28"/>
      <c r="S33" s="89"/>
      <c r="T33" s="89"/>
      <c r="U33" s="89"/>
      <c r="V33" s="89"/>
      <c r="W33" s="28"/>
      <c r="X33" s="89"/>
      <c r="Y33" s="89"/>
      <c r="Z33" s="89"/>
      <c r="AA33" s="89"/>
      <c r="AB33" s="28"/>
      <c r="AC33" s="89"/>
      <c r="AD33" s="89"/>
      <c r="AE33" s="89"/>
      <c r="AF33" s="89"/>
      <c r="AG33" s="28"/>
      <c r="AH33" s="89"/>
      <c r="AI33" s="89"/>
      <c r="AJ33" s="89"/>
      <c r="AK33" s="89"/>
      <c r="AL33" s="28"/>
      <c r="AM33" s="89"/>
      <c r="AN33" s="89"/>
      <c r="AO33" s="89"/>
      <c r="AP33" s="89"/>
      <c r="AQ33" s="28"/>
      <c r="AR33" s="89"/>
      <c r="AS33" s="89"/>
      <c r="AT33" s="89"/>
      <c r="AU33" s="89"/>
      <c r="AV33" s="28"/>
      <c r="AW33" s="89"/>
      <c r="AX33" s="89"/>
      <c r="AY33" s="89"/>
      <c r="AZ33" s="89"/>
      <c r="BA33" s="28"/>
      <c r="BB33" s="89"/>
      <c r="BC33" s="89"/>
      <c r="BD33" s="89"/>
      <c r="BE33" s="89"/>
      <c r="BF33" s="28"/>
      <c r="BG33" s="89"/>
      <c r="BH33" s="89"/>
      <c r="BI33" s="89"/>
      <c r="BJ33" s="89"/>
      <c r="BK33" s="28"/>
      <c r="BL33" s="89"/>
      <c r="BM33" s="89"/>
      <c r="BN33" s="89"/>
      <c r="BO33" s="89"/>
      <c r="BP33" s="28"/>
    </row>
    <row r="34" spans="3:68">
      <c r="C34" s="102" t="s">
        <v>135</v>
      </c>
      <c r="D34" s="89"/>
      <c r="E34" s="89"/>
      <c r="F34" s="89"/>
      <c r="G34" s="90"/>
      <c r="H34" s="28"/>
      <c r="I34" s="89"/>
      <c r="J34" s="89"/>
      <c r="K34" s="89"/>
      <c r="L34" s="90"/>
      <c r="M34" s="28"/>
      <c r="N34" s="89"/>
      <c r="O34" s="89"/>
      <c r="P34" s="89"/>
      <c r="Q34" s="90"/>
      <c r="R34" s="28"/>
      <c r="S34" s="89"/>
      <c r="T34" s="89"/>
      <c r="U34" s="89"/>
      <c r="V34" s="89"/>
      <c r="W34" s="28"/>
      <c r="X34" s="89"/>
      <c r="Y34" s="89"/>
      <c r="Z34" s="89"/>
      <c r="AA34" s="89"/>
      <c r="AB34" s="28"/>
      <c r="AC34" s="89"/>
      <c r="AD34" s="89"/>
      <c r="AE34" s="89"/>
      <c r="AF34" s="89"/>
      <c r="AG34" s="28"/>
      <c r="AH34" s="89"/>
      <c r="AI34" s="89"/>
      <c r="AJ34" s="89"/>
      <c r="AK34" s="89"/>
      <c r="AL34" s="28"/>
      <c r="AM34" s="89"/>
      <c r="AN34" s="89"/>
      <c r="AO34" s="89"/>
      <c r="AP34" s="89"/>
      <c r="AQ34" s="28"/>
      <c r="AR34" s="89"/>
      <c r="AS34" s="89"/>
      <c r="AT34" s="89"/>
      <c r="AU34" s="89"/>
      <c r="AV34" s="28"/>
      <c r="AW34" s="89"/>
      <c r="AX34" s="89"/>
      <c r="AY34" s="89"/>
      <c r="AZ34" s="89"/>
      <c r="BA34" s="28"/>
      <c r="BB34" s="89"/>
      <c r="BC34" s="89"/>
      <c r="BD34" s="89"/>
      <c r="BE34" s="89"/>
      <c r="BF34" s="28"/>
      <c r="BG34" s="89"/>
      <c r="BH34" s="89"/>
      <c r="BI34" s="89"/>
      <c r="BJ34" s="89"/>
      <c r="BK34" s="28"/>
      <c r="BL34" s="89"/>
      <c r="BM34" s="89"/>
      <c r="BN34" s="89"/>
      <c r="BO34" s="89"/>
      <c r="BP34" s="28"/>
    </row>
    <row r="35" spans="3:68">
      <c r="C35" s="102" t="s">
        <v>136</v>
      </c>
      <c r="D35" s="89"/>
      <c r="E35" s="89"/>
      <c r="F35" s="89"/>
      <c r="G35" s="90"/>
      <c r="H35" s="28"/>
      <c r="I35" s="89"/>
      <c r="J35" s="89"/>
      <c r="K35" s="89"/>
      <c r="L35" s="90"/>
      <c r="M35" s="28"/>
      <c r="N35" s="89"/>
      <c r="O35" s="89"/>
      <c r="P35" s="89"/>
      <c r="Q35" s="90"/>
      <c r="R35" s="28"/>
      <c r="S35" s="89"/>
      <c r="T35" s="89"/>
      <c r="U35" s="89"/>
      <c r="V35" s="89"/>
      <c r="W35" s="28"/>
      <c r="X35" s="89"/>
      <c r="Y35" s="89"/>
      <c r="Z35" s="89"/>
      <c r="AA35" s="89"/>
      <c r="AB35" s="28"/>
      <c r="AC35" s="89"/>
      <c r="AD35" s="89"/>
      <c r="AE35" s="89"/>
      <c r="AF35" s="89"/>
      <c r="AG35" s="28"/>
      <c r="AH35" s="89"/>
      <c r="AI35" s="89"/>
      <c r="AJ35" s="89"/>
      <c r="AK35" s="89"/>
      <c r="AL35" s="28"/>
      <c r="AM35" s="89"/>
      <c r="AN35" s="89"/>
      <c r="AO35" s="89"/>
      <c r="AP35" s="89"/>
      <c r="AQ35" s="28"/>
      <c r="AR35" s="89"/>
      <c r="AS35" s="89"/>
      <c r="AT35" s="89"/>
      <c r="AU35" s="89"/>
      <c r="AV35" s="28"/>
      <c r="AW35" s="89"/>
      <c r="AX35" s="89"/>
      <c r="AY35" s="89"/>
      <c r="AZ35" s="89"/>
      <c r="BA35" s="28"/>
      <c r="BB35" s="89"/>
      <c r="BC35" s="89"/>
      <c r="BD35" s="89"/>
      <c r="BE35" s="89"/>
      <c r="BF35" s="28"/>
      <c r="BG35" s="89"/>
      <c r="BH35" s="89"/>
      <c r="BI35" s="89"/>
      <c r="BJ35" s="89"/>
      <c r="BK35" s="28"/>
      <c r="BL35" s="89"/>
      <c r="BM35" s="89"/>
      <c r="BN35" s="89"/>
      <c r="BO35" s="89"/>
      <c r="BP35" s="28"/>
    </row>
    <row r="36" spans="3:68">
      <c r="C36" s="103" t="s">
        <v>137</v>
      </c>
      <c r="D36" s="89">
        <v>17</v>
      </c>
      <c r="E36" s="89">
        <v>22</v>
      </c>
      <c r="F36" s="89">
        <v>28</v>
      </c>
      <c r="G36" s="90">
        <v>22</v>
      </c>
      <c r="H36" s="28">
        <v>22</v>
      </c>
      <c r="I36" s="89">
        <v>31</v>
      </c>
      <c r="J36" s="89">
        <v>17</v>
      </c>
      <c r="K36" s="89">
        <v>20</v>
      </c>
      <c r="L36" s="90">
        <v>58</v>
      </c>
      <c r="M36" s="28">
        <v>58</v>
      </c>
      <c r="N36" s="89">
        <v>39</v>
      </c>
      <c r="O36" s="89">
        <v>46</v>
      </c>
      <c r="P36" s="89">
        <v>49</v>
      </c>
      <c r="Q36" s="90">
        <v>57</v>
      </c>
      <c r="R36" s="28">
        <v>57</v>
      </c>
      <c r="S36" s="89">
        <v>40</v>
      </c>
      <c r="T36" s="89">
        <v>82</v>
      </c>
      <c r="U36" s="89">
        <v>79</v>
      </c>
      <c r="V36" s="89">
        <v>107</v>
      </c>
      <c r="W36" s="28">
        <v>107</v>
      </c>
      <c r="X36" s="89">
        <v>117</v>
      </c>
      <c r="Y36" s="89">
        <v>164</v>
      </c>
      <c r="Z36" s="89">
        <v>219</v>
      </c>
      <c r="AA36" s="89">
        <v>239</v>
      </c>
      <c r="AB36" s="28">
        <v>239</v>
      </c>
      <c r="AC36" s="89">
        <v>317</v>
      </c>
      <c r="AD36" s="89">
        <v>301</v>
      </c>
      <c r="AE36" s="89">
        <v>263</v>
      </c>
      <c r="AF36" s="89">
        <v>377</v>
      </c>
      <c r="AG36" s="28">
        <v>377</v>
      </c>
      <c r="AH36" s="89">
        <v>366</v>
      </c>
      <c r="AI36" s="89">
        <v>322</v>
      </c>
      <c r="AJ36" s="89">
        <v>339</v>
      </c>
      <c r="AK36" s="89">
        <v>362</v>
      </c>
      <c r="AL36" s="28">
        <f t="shared" si="1"/>
        <v>362</v>
      </c>
      <c r="AM36" s="89">
        <v>359</v>
      </c>
      <c r="AN36" s="89">
        <v>428</v>
      </c>
      <c r="AO36" s="89">
        <v>506</v>
      </c>
      <c r="AP36" s="89">
        <v>545</v>
      </c>
      <c r="AQ36" s="28">
        <f t="shared" si="2"/>
        <v>545</v>
      </c>
      <c r="AR36" s="89">
        <v>501</v>
      </c>
      <c r="AS36" s="89">
        <v>512</v>
      </c>
      <c r="AT36" s="89">
        <v>579</v>
      </c>
      <c r="AU36" s="89">
        <v>470</v>
      </c>
      <c r="AV36" s="28">
        <f t="shared" si="3"/>
        <v>470</v>
      </c>
      <c r="AW36" s="89">
        <v>458</v>
      </c>
      <c r="AX36" s="89">
        <v>386</v>
      </c>
      <c r="AY36" s="89">
        <v>460</v>
      </c>
      <c r="AZ36" s="89">
        <v>474</v>
      </c>
      <c r="BA36" s="28">
        <f>AZ36</f>
        <v>474</v>
      </c>
      <c r="BB36" s="89">
        <v>443</v>
      </c>
      <c r="BC36" s="89">
        <v>458</v>
      </c>
      <c r="BD36" s="89">
        <v>429</v>
      </c>
      <c r="BE36" s="89">
        <v>487</v>
      </c>
      <c r="BF36" s="28">
        <f>BE36</f>
        <v>487</v>
      </c>
      <c r="BG36" s="89">
        <v>422</v>
      </c>
      <c r="BH36" s="89">
        <v>432</v>
      </c>
      <c r="BI36" s="89">
        <v>537</v>
      </c>
      <c r="BJ36" s="89">
        <v>500</v>
      </c>
      <c r="BK36" s="28">
        <f t="shared" si="5"/>
        <v>500</v>
      </c>
      <c r="BL36" s="89">
        <v>463</v>
      </c>
      <c r="BM36" s="89">
        <v>469</v>
      </c>
      <c r="BN36" s="89"/>
      <c r="BO36" s="89"/>
      <c r="BP36" s="28">
        <f>BM36</f>
        <v>469</v>
      </c>
    </row>
    <row r="37" spans="3:68">
      <c r="C37" s="103" t="s">
        <v>138</v>
      </c>
      <c r="D37" s="89"/>
      <c r="E37" s="89"/>
      <c r="F37" s="89"/>
      <c r="G37" s="90"/>
      <c r="H37" s="28"/>
      <c r="I37" s="89"/>
      <c r="J37" s="89"/>
      <c r="K37" s="89"/>
      <c r="L37" s="90"/>
      <c r="M37" s="28"/>
      <c r="N37" s="89"/>
      <c r="O37" s="89"/>
      <c r="P37" s="89"/>
      <c r="Q37" s="90"/>
      <c r="R37" s="28"/>
      <c r="S37" s="89"/>
      <c r="T37" s="89"/>
      <c r="U37" s="89"/>
      <c r="V37" s="89"/>
      <c r="W37" s="28"/>
      <c r="X37" s="89"/>
      <c r="Y37" s="89"/>
      <c r="Z37" s="89"/>
      <c r="AA37" s="89"/>
      <c r="AB37" s="28"/>
      <c r="AC37" s="89">
        <v>72</v>
      </c>
      <c r="AD37" s="89">
        <v>73</v>
      </c>
      <c r="AE37" s="89">
        <v>79</v>
      </c>
      <c r="AF37" s="89">
        <v>82</v>
      </c>
      <c r="AG37" s="28">
        <v>82</v>
      </c>
      <c r="AH37" s="89">
        <v>87</v>
      </c>
      <c r="AI37" s="89">
        <v>88</v>
      </c>
      <c r="AJ37" s="89">
        <v>92</v>
      </c>
      <c r="AK37" s="89">
        <v>101</v>
      </c>
      <c r="AL37" s="28">
        <f t="shared" si="1"/>
        <v>101</v>
      </c>
      <c r="AM37" s="89">
        <v>100</v>
      </c>
      <c r="AN37" s="89">
        <v>106</v>
      </c>
      <c r="AO37" s="89">
        <v>112</v>
      </c>
      <c r="AP37" s="89">
        <v>115</v>
      </c>
      <c r="AQ37" s="28">
        <f t="shared" si="2"/>
        <v>115</v>
      </c>
      <c r="AR37" s="89">
        <v>112</v>
      </c>
      <c r="AS37" s="89">
        <v>117</v>
      </c>
      <c r="AT37" s="89">
        <v>138</v>
      </c>
      <c r="AU37" s="89">
        <v>151</v>
      </c>
      <c r="AV37" s="28">
        <f t="shared" si="3"/>
        <v>151</v>
      </c>
      <c r="AW37" s="89">
        <v>222</v>
      </c>
      <c r="AX37" s="89">
        <v>231</v>
      </c>
      <c r="AY37" s="89">
        <v>249</v>
      </c>
      <c r="AZ37" s="89">
        <v>235</v>
      </c>
      <c r="BA37" s="28">
        <f t="shared" ref="BA37:BA44" si="19">AZ37</f>
        <v>235</v>
      </c>
      <c r="BB37" s="89">
        <v>262</v>
      </c>
      <c r="BC37" s="89">
        <v>295</v>
      </c>
      <c r="BD37" s="89">
        <v>293</v>
      </c>
      <c r="BE37" s="89">
        <v>287</v>
      </c>
      <c r="BF37" s="28">
        <f t="shared" ref="BF37:BF44" si="20">BE37</f>
        <v>287</v>
      </c>
      <c r="BG37" s="89">
        <v>296</v>
      </c>
      <c r="BH37" s="89">
        <v>312</v>
      </c>
      <c r="BI37" s="89">
        <v>332</v>
      </c>
      <c r="BJ37" s="89">
        <v>333</v>
      </c>
      <c r="BK37" s="28">
        <f t="shared" si="5"/>
        <v>333</v>
      </c>
      <c r="BL37" s="89">
        <v>360</v>
      </c>
      <c r="BM37" s="89">
        <v>374</v>
      </c>
      <c r="BN37" s="89"/>
      <c r="BO37" s="89"/>
      <c r="BP37" s="28">
        <f t="shared" ref="BP37:BP48" si="21">BM37</f>
        <v>374</v>
      </c>
    </row>
    <row r="38" spans="3:68">
      <c r="C38" s="103" t="s">
        <v>116</v>
      </c>
      <c r="D38" s="89">
        <v>0</v>
      </c>
      <c r="E38" s="89">
        <v>4</v>
      </c>
      <c r="F38" s="89">
        <v>5</v>
      </c>
      <c r="G38" s="90">
        <v>0</v>
      </c>
      <c r="H38" s="28">
        <v>0</v>
      </c>
      <c r="I38" s="89">
        <v>1</v>
      </c>
      <c r="J38" s="89">
        <v>2</v>
      </c>
      <c r="K38" s="89">
        <v>1</v>
      </c>
      <c r="L38" s="90">
        <v>1</v>
      </c>
      <c r="M38" s="28">
        <v>1</v>
      </c>
      <c r="N38" s="89">
        <v>1</v>
      </c>
      <c r="O38" s="89">
        <v>0</v>
      </c>
      <c r="P38" s="89">
        <v>1</v>
      </c>
      <c r="Q38" s="90">
        <v>0</v>
      </c>
      <c r="R38" s="28">
        <v>0</v>
      </c>
      <c r="S38" s="89">
        <v>7</v>
      </c>
      <c r="T38" s="89">
        <v>10</v>
      </c>
      <c r="U38" s="89">
        <v>1</v>
      </c>
      <c r="V38" s="89">
        <v>6</v>
      </c>
      <c r="W38" s="28">
        <v>6</v>
      </c>
      <c r="X38" s="89">
        <v>20</v>
      </c>
      <c r="Y38" s="89">
        <v>43</v>
      </c>
      <c r="Z38" s="89">
        <v>0</v>
      </c>
      <c r="AA38" s="89">
        <v>2</v>
      </c>
      <c r="AB38" s="28">
        <v>2</v>
      </c>
      <c r="AC38" s="89">
        <v>3</v>
      </c>
      <c r="AD38" s="89">
        <v>5</v>
      </c>
      <c r="AE38" s="89">
        <v>13</v>
      </c>
      <c r="AF38" s="89">
        <v>65</v>
      </c>
      <c r="AG38" s="28">
        <v>65</v>
      </c>
      <c r="AH38" s="89">
        <v>11</v>
      </c>
      <c r="AI38" s="89">
        <v>3</v>
      </c>
      <c r="AJ38" s="89">
        <v>5</v>
      </c>
      <c r="AK38" s="89">
        <v>8</v>
      </c>
      <c r="AL38" s="28">
        <f t="shared" si="1"/>
        <v>8</v>
      </c>
      <c r="AM38" s="89">
        <v>7</v>
      </c>
      <c r="AN38" s="89">
        <v>6</v>
      </c>
      <c r="AO38" s="89">
        <v>6</v>
      </c>
      <c r="AP38" s="89">
        <v>8</v>
      </c>
      <c r="AQ38" s="28">
        <f t="shared" si="2"/>
        <v>8</v>
      </c>
      <c r="AR38" s="89">
        <v>28</v>
      </c>
      <c r="AS38" s="89">
        <v>30</v>
      </c>
      <c r="AT38" s="89">
        <v>27</v>
      </c>
      <c r="AU38" s="89">
        <v>10</v>
      </c>
      <c r="AV38" s="28">
        <f t="shared" si="3"/>
        <v>10</v>
      </c>
      <c r="AW38" s="89">
        <v>6</v>
      </c>
      <c r="AX38" s="89">
        <v>9</v>
      </c>
      <c r="AY38" s="89">
        <v>17</v>
      </c>
      <c r="AZ38" s="89">
        <v>4</v>
      </c>
      <c r="BA38" s="28">
        <f t="shared" si="19"/>
        <v>4</v>
      </c>
      <c r="BB38" s="89">
        <v>3</v>
      </c>
      <c r="BC38" s="89">
        <v>19</v>
      </c>
      <c r="BD38" s="89">
        <v>20</v>
      </c>
      <c r="BE38" s="89">
        <v>7</v>
      </c>
      <c r="BF38" s="28">
        <f t="shared" si="20"/>
        <v>7</v>
      </c>
      <c r="BG38" s="89">
        <v>34</v>
      </c>
      <c r="BH38" s="89">
        <v>56</v>
      </c>
      <c r="BI38" s="89">
        <v>44</v>
      </c>
      <c r="BJ38" s="89">
        <v>63</v>
      </c>
      <c r="BK38" s="28">
        <f t="shared" si="5"/>
        <v>63</v>
      </c>
      <c r="BL38" s="89">
        <v>5</v>
      </c>
      <c r="BM38" s="89">
        <v>7</v>
      </c>
      <c r="BN38" s="89"/>
      <c r="BO38" s="89"/>
      <c r="BP38" s="28">
        <f t="shared" si="21"/>
        <v>7</v>
      </c>
    </row>
    <row r="39" spans="3:68">
      <c r="C39" s="103" t="s">
        <v>139</v>
      </c>
      <c r="D39" s="89">
        <v>441</v>
      </c>
      <c r="E39" s="89">
        <v>434</v>
      </c>
      <c r="F39" s="89">
        <v>421</v>
      </c>
      <c r="G39" s="90">
        <v>451</v>
      </c>
      <c r="H39" s="28">
        <v>451</v>
      </c>
      <c r="I39" s="89">
        <v>497</v>
      </c>
      <c r="J39" s="89">
        <v>476</v>
      </c>
      <c r="K39" s="89">
        <v>448</v>
      </c>
      <c r="L39" s="90">
        <v>515</v>
      </c>
      <c r="M39" s="28">
        <v>515</v>
      </c>
      <c r="N39" s="89">
        <v>609</v>
      </c>
      <c r="O39" s="89">
        <v>578</v>
      </c>
      <c r="P39" s="89">
        <v>571</v>
      </c>
      <c r="Q39" s="90">
        <v>599</v>
      </c>
      <c r="R39" s="28">
        <v>599</v>
      </c>
      <c r="S39" s="89">
        <v>703</v>
      </c>
      <c r="T39" s="89">
        <v>700</v>
      </c>
      <c r="U39" s="89">
        <v>397</v>
      </c>
      <c r="V39" s="89">
        <v>314</v>
      </c>
      <c r="W39" s="28">
        <v>314</v>
      </c>
      <c r="X39" s="89">
        <v>297</v>
      </c>
      <c r="Y39" s="89">
        <v>200</v>
      </c>
      <c r="Z39" s="89">
        <v>247</v>
      </c>
      <c r="AA39" s="89">
        <v>227</v>
      </c>
      <c r="AB39" s="28">
        <v>227</v>
      </c>
      <c r="AC39" s="89">
        <v>305</v>
      </c>
      <c r="AD39" s="89">
        <v>216</v>
      </c>
      <c r="AE39" s="89">
        <v>216</v>
      </c>
      <c r="AF39" s="89">
        <v>197</v>
      </c>
      <c r="AG39" s="28">
        <v>197</v>
      </c>
      <c r="AH39" s="89">
        <v>286</v>
      </c>
      <c r="AI39" s="89">
        <v>216</v>
      </c>
      <c r="AJ39" s="89">
        <v>210</v>
      </c>
      <c r="AK39" s="89">
        <v>294</v>
      </c>
      <c r="AL39" s="28">
        <f t="shared" si="1"/>
        <v>294</v>
      </c>
      <c r="AM39" s="89">
        <v>390</v>
      </c>
      <c r="AN39" s="89">
        <v>331</v>
      </c>
      <c r="AO39" s="89">
        <v>341</v>
      </c>
      <c r="AP39" s="89">
        <v>344</v>
      </c>
      <c r="AQ39" s="28">
        <f t="shared" si="2"/>
        <v>344</v>
      </c>
      <c r="AR39" s="89">
        <v>458</v>
      </c>
      <c r="AS39" s="89">
        <v>396</v>
      </c>
      <c r="AT39" s="89">
        <v>383</v>
      </c>
      <c r="AU39" s="89">
        <v>412</v>
      </c>
      <c r="AV39" s="28">
        <f t="shared" si="3"/>
        <v>412</v>
      </c>
      <c r="AW39" s="89">
        <v>583</v>
      </c>
      <c r="AX39" s="89">
        <v>504</v>
      </c>
      <c r="AY39" s="89">
        <v>483</v>
      </c>
      <c r="AZ39" s="89">
        <v>430</v>
      </c>
      <c r="BA39" s="28">
        <f t="shared" si="19"/>
        <v>430</v>
      </c>
      <c r="BB39" s="89">
        <v>539</v>
      </c>
      <c r="BC39" s="89">
        <v>524</v>
      </c>
      <c r="BD39" s="89">
        <v>525</v>
      </c>
      <c r="BE39" s="89">
        <v>567</v>
      </c>
      <c r="BF39" s="28">
        <f t="shared" si="20"/>
        <v>567</v>
      </c>
      <c r="BG39" s="89">
        <v>707</v>
      </c>
      <c r="BH39" s="89">
        <v>630</v>
      </c>
      <c r="BI39" s="89">
        <v>611</v>
      </c>
      <c r="BJ39" s="89">
        <v>594</v>
      </c>
      <c r="BK39" s="28">
        <f t="shared" si="5"/>
        <v>594</v>
      </c>
      <c r="BL39" s="89">
        <v>732</v>
      </c>
      <c r="BM39" s="89">
        <v>682</v>
      </c>
      <c r="BN39" s="89"/>
      <c r="BO39" s="89"/>
      <c r="BP39" s="28">
        <f t="shared" si="21"/>
        <v>682</v>
      </c>
    </row>
    <row r="40" spans="3:68" hidden="1">
      <c r="C40" s="103" t="s">
        <v>243</v>
      </c>
      <c r="D40" s="89">
        <v>0</v>
      </c>
      <c r="E40" s="89">
        <v>0</v>
      </c>
      <c r="F40" s="89">
        <v>0</v>
      </c>
      <c r="G40" s="90">
        <v>0</v>
      </c>
      <c r="H40" s="28">
        <v>0</v>
      </c>
      <c r="I40" s="89"/>
      <c r="J40" s="89"/>
      <c r="K40" s="89"/>
      <c r="L40" s="90"/>
      <c r="M40" s="28"/>
      <c r="N40" s="89"/>
      <c r="O40" s="89"/>
      <c r="P40" s="89"/>
      <c r="Q40" s="90"/>
      <c r="R40" s="28"/>
      <c r="S40" s="89"/>
      <c r="T40" s="89"/>
      <c r="U40" s="89"/>
      <c r="V40" s="89"/>
      <c r="W40" s="28"/>
      <c r="X40" s="89"/>
      <c r="Y40" s="89"/>
      <c r="Z40" s="89"/>
      <c r="AA40" s="89"/>
      <c r="AB40" s="28"/>
      <c r="AC40" s="89"/>
      <c r="AD40" s="89"/>
      <c r="AE40" s="89"/>
      <c r="AF40" s="89"/>
      <c r="AG40" s="28"/>
      <c r="AH40" s="89"/>
      <c r="AI40" s="89"/>
      <c r="AJ40" s="89"/>
      <c r="AK40" s="89"/>
      <c r="AL40" s="28">
        <f t="shared" si="1"/>
        <v>0</v>
      </c>
      <c r="AM40" s="89"/>
      <c r="AN40" s="89"/>
      <c r="AO40" s="89"/>
      <c r="AP40" s="89"/>
      <c r="AQ40" s="28">
        <f t="shared" si="2"/>
        <v>0</v>
      </c>
      <c r="AR40" s="89"/>
      <c r="AS40" s="89"/>
      <c r="AT40" s="89"/>
      <c r="AU40" s="89"/>
      <c r="AV40" s="28">
        <f t="shared" si="3"/>
        <v>0</v>
      </c>
      <c r="AW40" s="89"/>
      <c r="AX40" s="89"/>
      <c r="AY40" s="89"/>
      <c r="AZ40" s="89"/>
      <c r="BA40" s="28">
        <f t="shared" si="19"/>
        <v>0</v>
      </c>
      <c r="BB40" s="89"/>
      <c r="BC40" s="89"/>
      <c r="BD40" s="89"/>
      <c r="BE40" s="89"/>
      <c r="BF40" s="28">
        <f t="shared" si="20"/>
        <v>0</v>
      </c>
      <c r="BG40" s="89"/>
      <c r="BH40" s="89"/>
      <c r="BI40" s="89"/>
      <c r="BJ40" s="89"/>
      <c r="BK40" s="28">
        <f t="shared" si="5"/>
        <v>0</v>
      </c>
      <c r="BL40" s="89"/>
      <c r="BM40" s="89">
        <v>0</v>
      </c>
      <c r="BN40" s="89"/>
      <c r="BO40" s="89"/>
      <c r="BP40" s="28">
        <f t="shared" si="21"/>
        <v>0</v>
      </c>
    </row>
    <row r="41" spans="3:68">
      <c r="C41" s="103" t="s">
        <v>140</v>
      </c>
      <c r="D41" s="89">
        <v>7</v>
      </c>
      <c r="E41" s="89">
        <v>4</v>
      </c>
      <c r="F41" s="89">
        <v>4</v>
      </c>
      <c r="G41" s="90">
        <v>4</v>
      </c>
      <c r="H41" s="28">
        <v>4</v>
      </c>
      <c r="I41" s="89">
        <v>3</v>
      </c>
      <c r="J41" s="89">
        <v>3</v>
      </c>
      <c r="K41" s="89">
        <v>5</v>
      </c>
      <c r="L41" s="90">
        <v>4</v>
      </c>
      <c r="M41" s="28">
        <v>4</v>
      </c>
      <c r="N41" s="89">
        <v>4</v>
      </c>
      <c r="O41" s="89">
        <v>2</v>
      </c>
      <c r="P41" s="89">
        <v>4</v>
      </c>
      <c r="Q41" s="90">
        <v>5</v>
      </c>
      <c r="R41" s="28">
        <v>5</v>
      </c>
      <c r="S41" s="89">
        <v>2</v>
      </c>
      <c r="T41" s="89">
        <v>2</v>
      </c>
      <c r="U41" s="89">
        <v>24</v>
      </c>
      <c r="V41" s="89">
        <v>6</v>
      </c>
      <c r="W41" s="28">
        <v>6</v>
      </c>
      <c r="X41" s="89">
        <v>27</v>
      </c>
      <c r="Y41" s="89">
        <v>12</v>
      </c>
      <c r="Z41" s="89">
        <v>5</v>
      </c>
      <c r="AA41" s="89">
        <v>4</v>
      </c>
      <c r="AB41" s="28">
        <v>4</v>
      </c>
      <c r="AC41" s="89">
        <v>4</v>
      </c>
      <c r="AD41" s="89">
        <v>2</v>
      </c>
      <c r="AE41" s="89">
        <v>2</v>
      </c>
      <c r="AF41" s="89">
        <v>2</v>
      </c>
      <c r="AG41" s="28">
        <v>2</v>
      </c>
      <c r="AH41" s="89">
        <v>3</v>
      </c>
      <c r="AI41" s="89">
        <v>0</v>
      </c>
      <c r="AJ41" s="89">
        <v>0</v>
      </c>
      <c r="AK41" s="89">
        <v>0</v>
      </c>
      <c r="AL41" s="28">
        <f t="shared" si="1"/>
        <v>0</v>
      </c>
      <c r="AM41" s="89">
        <v>0</v>
      </c>
      <c r="AN41" s="89">
        <v>0</v>
      </c>
      <c r="AO41" s="89">
        <v>0</v>
      </c>
      <c r="AP41" s="89">
        <v>0</v>
      </c>
      <c r="AQ41" s="28">
        <f t="shared" si="2"/>
        <v>0</v>
      </c>
      <c r="AR41" s="89">
        <v>0</v>
      </c>
      <c r="AS41" s="89">
        <v>0</v>
      </c>
      <c r="AT41" s="89">
        <v>0</v>
      </c>
      <c r="AU41" s="89">
        <v>0</v>
      </c>
      <c r="AV41" s="28">
        <f t="shared" si="3"/>
        <v>0</v>
      </c>
      <c r="AW41" s="89">
        <v>0</v>
      </c>
      <c r="AX41" s="89">
        <v>0</v>
      </c>
      <c r="AY41" s="89">
        <v>0</v>
      </c>
      <c r="AZ41" s="89">
        <v>0</v>
      </c>
      <c r="BA41" s="28">
        <f t="shared" si="19"/>
        <v>0</v>
      </c>
      <c r="BB41" s="89">
        <v>0</v>
      </c>
      <c r="BC41" s="89">
        <v>0</v>
      </c>
      <c r="BD41" s="89">
        <v>0</v>
      </c>
      <c r="BE41" s="89">
        <v>0</v>
      </c>
      <c r="BF41" s="28">
        <f t="shared" si="20"/>
        <v>0</v>
      </c>
      <c r="BG41" s="89">
        <v>0</v>
      </c>
      <c r="BH41" s="89">
        <v>0</v>
      </c>
      <c r="BI41" s="89">
        <v>0</v>
      </c>
      <c r="BJ41" s="89">
        <v>0</v>
      </c>
      <c r="BK41" s="28">
        <f t="shared" si="5"/>
        <v>0</v>
      </c>
      <c r="BL41" s="89">
        <v>0</v>
      </c>
      <c r="BM41" s="89">
        <v>0</v>
      </c>
      <c r="BN41" s="89"/>
      <c r="BO41" s="89"/>
      <c r="BP41" s="28">
        <f t="shared" si="21"/>
        <v>0</v>
      </c>
    </row>
    <row r="42" spans="3:68">
      <c r="C42" s="103" t="s">
        <v>141</v>
      </c>
      <c r="D42" s="89">
        <v>143</v>
      </c>
      <c r="E42" s="89">
        <v>136</v>
      </c>
      <c r="F42" s="89">
        <v>139</v>
      </c>
      <c r="G42" s="90">
        <v>168</v>
      </c>
      <c r="H42" s="28">
        <v>168</v>
      </c>
      <c r="I42" s="89">
        <v>186</v>
      </c>
      <c r="J42" s="89">
        <v>169</v>
      </c>
      <c r="K42" s="89">
        <v>211</v>
      </c>
      <c r="L42" s="90">
        <v>201</v>
      </c>
      <c r="M42" s="28">
        <v>201</v>
      </c>
      <c r="N42" s="89">
        <v>228</v>
      </c>
      <c r="O42" s="89">
        <v>222</v>
      </c>
      <c r="P42" s="89">
        <v>268</v>
      </c>
      <c r="Q42" s="90">
        <v>274</v>
      </c>
      <c r="R42" s="28">
        <v>274</v>
      </c>
      <c r="S42" s="89">
        <v>309</v>
      </c>
      <c r="T42" s="89">
        <v>306</v>
      </c>
      <c r="U42" s="89">
        <v>362</v>
      </c>
      <c r="V42" s="89">
        <v>352</v>
      </c>
      <c r="W42" s="28">
        <v>352</v>
      </c>
      <c r="X42" s="89">
        <v>340</v>
      </c>
      <c r="Y42" s="89">
        <v>332</v>
      </c>
      <c r="Z42" s="89">
        <v>434</v>
      </c>
      <c r="AA42" s="89">
        <v>406</v>
      </c>
      <c r="AB42" s="28">
        <v>406</v>
      </c>
      <c r="AC42" s="89">
        <v>408</v>
      </c>
      <c r="AD42" s="89">
        <v>382</v>
      </c>
      <c r="AE42" s="89">
        <v>438</v>
      </c>
      <c r="AF42" s="89">
        <v>395</v>
      </c>
      <c r="AG42" s="28">
        <v>395</v>
      </c>
      <c r="AH42" s="89">
        <v>410</v>
      </c>
      <c r="AI42" s="89">
        <v>455</v>
      </c>
      <c r="AJ42" s="89">
        <v>544</v>
      </c>
      <c r="AK42" s="89">
        <v>554</v>
      </c>
      <c r="AL42" s="28">
        <f t="shared" si="1"/>
        <v>554</v>
      </c>
      <c r="AM42" s="89">
        <v>575</v>
      </c>
      <c r="AN42" s="89">
        <v>592</v>
      </c>
      <c r="AO42" s="89">
        <v>833</v>
      </c>
      <c r="AP42" s="89">
        <v>834</v>
      </c>
      <c r="AQ42" s="28">
        <f t="shared" si="2"/>
        <v>834</v>
      </c>
      <c r="AR42" s="89">
        <v>800</v>
      </c>
      <c r="AS42" s="89">
        <v>855</v>
      </c>
      <c r="AT42" s="89">
        <v>861</v>
      </c>
      <c r="AU42" s="89">
        <v>872</v>
      </c>
      <c r="AV42" s="28">
        <f t="shared" si="3"/>
        <v>872</v>
      </c>
      <c r="AW42" s="89">
        <v>894</v>
      </c>
      <c r="AX42" s="89">
        <v>844</v>
      </c>
      <c r="AY42" s="89">
        <v>922</v>
      </c>
      <c r="AZ42" s="89">
        <v>880</v>
      </c>
      <c r="BA42" s="28">
        <f t="shared" si="19"/>
        <v>880</v>
      </c>
      <c r="BB42" s="89">
        <v>834</v>
      </c>
      <c r="BC42" s="89">
        <v>860</v>
      </c>
      <c r="BD42" s="89">
        <v>988</v>
      </c>
      <c r="BE42" s="89">
        <v>994</v>
      </c>
      <c r="BF42" s="28">
        <f t="shared" si="20"/>
        <v>994</v>
      </c>
      <c r="BG42" s="89">
        <v>994</v>
      </c>
      <c r="BH42" s="89">
        <v>1016</v>
      </c>
      <c r="BI42" s="89">
        <v>1235</v>
      </c>
      <c r="BJ42" s="89">
        <v>1248</v>
      </c>
      <c r="BK42" s="28">
        <f t="shared" si="5"/>
        <v>1248</v>
      </c>
      <c r="BL42" s="89">
        <v>1222</v>
      </c>
      <c r="BM42" s="89">
        <v>1234</v>
      </c>
      <c r="BN42" s="89"/>
      <c r="BO42" s="89"/>
      <c r="BP42" s="28">
        <f t="shared" si="21"/>
        <v>1234</v>
      </c>
    </row>
    <row r="43" spans="3:68">
      <c r="C43" s="103" t="s">
        <v>142</v>
      </c>
      <c r="D43" s="89">
        <v>175</v>
      </c>
      <c r="E43" s="89">
        <v>165</v>
      </c>
      <c r="F43" s="89">
        <v>165</v>
      </c>
      <c r="G43" s="90">
        <v>171</v>
      </c>
      <c r="H43" s="28">
        <v>171</v>
      </c>
      <c r="I43" s="89">
        <v>183</v>
      </c>
      <c r="J43" s="89">
        <v>183</v>
      </c>
      <c r="K43" s="89">
        <v>192</v>
      </c>
      <c r="L43" s="90">
        <v>202</v>
      </c>
      <c r="M43" s="28">
        <v>202</v>
      </c>
      <c r="N43" s="89">
        <v>210</v>
      </c>
      <c r="O43" s="89">
        <v>216</v>
      </c>
      <c r="P43" s="89">
        <v>210</v>
      </c>
      <c r="Q43" s="90">
        <v>209</v>
      </c>
      <c r="R43" s="28">
        <v>209</v>
      </c>
      <c r="S43" s="89">
        <v>220</v>
      </c>
      <c r="T43" s="89">
        <v>228</v>
      </c>
      <c r="U43" s="89">
        <v>227</v>
      </c>
      <c r="V43" s="89">
        <v>218</v>
      </c>
      <c r="W43" s="28">
        <v>218</v>
      </c>
      <c r="X43" s="89">
        <v>219</v>
      </c>
      <c r="Y43" s="89">
        <v>214</v>
      </c>
      <c r="Z43" s="89">
        <v>229</v>
      </c>
      <c r="AA43" s="89">
        <v>234</v>
      </c>
      <c r="AB43" s="28">
        <v>234</v>
      </c>
      <c r="AC43" s="89">
        <v>248</v>
      </c>
      <c r="AD43" s="89">
        <v>258</v>
      </c>
      <c r="AE43" s="89">
        <v>268</v>
      </c>
      <c r="AF43" s="89">
        <v>242</v>
      </c>
      <c r="AG43" s="28">
        <v>242</v>
      </c>
      <c r="AH43" s="89">
        <v>253</v>
      </c>
      <c r="AI43" s="89">
        <v>263</v>
      </c>
      <c r="AJ43" s="89">
        <v>278</v>
      </c>
      <c r="AK43" s="89">
        <v>276</v>
      </c>
      <c r="AL43" s="28">
        <f t="shared" si="1"/>
        <v>276</v>
      </c>
      <c r="AM43" s="89">
        <v>304</v>
      </c>
      <c r="AN43" s="89">
        <v>301</v>
      </c>
      <c r="AO43" s="89">
        <v>298</v>
      </c>
      <c r="AP43" s="89">
        <v>288</v>
      </c>
      <c r="AQ43" s="28">
        <f t="shared" si="2"/>
        <v>288</v>
      </c>
      <c r="AR43" s="89">
        <v>282</v>
      </c>
      <c r="AS43" s="89">
        <v>276</v>
      </c>
      <c r="AT43" s="89">
        <v>290</v>
      </c>
      <c r="AU43" s="89">
        <v>292</v>
      </c>
      <c r="AV43" s="28">
        <f t="shared" si="3"/>
        <v>292</v>
      </c>
      <c r="AW43" s="89">
        <v>310</v>
      </c>
      <c r="AX43" s="89">
        <v>315</v>
      </c>
      <c r="AY43" s="89">
        <v>326</v>
      </c>
      <c r="AZ43" s="89">
        <v>314</v>
      </c>
      <c r="BA43" s="28">
        <f t="shared" si="19"/>
        <v>314</v>
      </c>
      <c r="BB43" s="89">
        <v>336</v>
      </c>
      <c r="BC43" s="89">
        <v>343</v>
      </c>
      <c r="BD43" s="89">
        <v>336</v>
      </c>
      <c r="BE43" s="89">
        <v>340</v>
      </c>
      <c r="BF43" s="28">
        <f t="shared" si="20"/>
        <v>340</v>
      </c>
      <c r="BG43" s="89">
        <v>385</v>
      </c>
      <c r="BH43" s="89">
        <v>375</v>
      </c>
      <c r="BI43" s="89">
        <v>384</v>
      </c>
      <c r="BJ43" s="89">
        <v>372</v>
      </c>
      <c r="BK43" s="28">
        <f t="shared" si="5"/>
        <v>372</v>
      </c>
      <c r="BL43" s="89">
        <v>388</v>
      </c>
      <c r="BM43" s="89">
        <v>370</v>
      </c>
      <c r="BN43" s="89"/>
      <c r="BO43" s="89"/>
      <c r="BP43" s="28">
        <f t="shared" si="21"/>
        <v>370</v>
      </c>
    </row>
    <row r="44" spans="3:68">
      <c r="C44" s="103" t="s">
        <v>143</v>
      </c>
      <c r="D44" s="89">
        <v>62</v>
      </c>
      <c r="E44" s="89">
        <v>66</v>
      </c>
      <c r="F44" s="89">
        <v>71</v>
      </c>
      <c r="G44" s="90">
        <v>77</v>
      </c>
      <c r="H44" s="28">
        <v>77</v>
      </c>
      <c r="I44" s="89">
        <v>74</v>
      </c>
      <c r="J44" s="89">
        <v>66</v>
      </c>
      <c r="K44" s="89">
        <v>73</v>
      </c>
      <c r="L44" s="90">
        <v>77</v>
      </c>
      <c r="M44" s="28">
        <v>77</v>
      </c>
      <c r="N44" s="89">
        <v>79</v>
      </c>
      <c r="O44" s="89">
        <v>93</v>
      </c>
      <c r="P44" s="89">
        <v>61</v>
      </c>
      <c r="Q44" s="90">
        <v>63</v>
      </c>
      <c r="R44" s="28">
        <v>63</v>
      </c>
      <c r="S44" s="89">
        <v>63</v>
      </c>
      <c r="T44" s="89">
        <v>64</v>
      </c>
      <c r="U44" s="89">
        <v>71</v>
      </c>
      <c r="V44" s="89">
        <v>75</v>
      </c>
      <c r="W44" s="28">
        <v>75</v>
      </c>
      <c r="X44" s="89">
        <v>76</v>
      </c>
      <c r="Y44" s="89">
        <v>85</v>
      </c>
      <c r="Z44" s="89">
        <v>83</v>
      </c>
      <c r="AA44" s="89">
        <v>83</v>
      </c>
      <c r="AB44" s="28">
        <v>83</v>
      </c>
      <c r="AC44" s="89">
        <v>84</v>
      </c>
      <c r="AD44" s="89">
        <v>86</v>
      </c>
      <c r="AE44" s="89">
        <v>85</v>
      </c>
      <c r="AF44" s="89">
        <v>76</v>
      </c>
      <c r="AG44" s="28">
        <v>76</v>
      </c>
      <c r="AH44" s="89">
        <v>84</v>
      </c>
      <c r="AI44" s="89">
        <v>93</v>
      </c>
      <c r="AJ44" s="89">
        <v>102</v>
      </c>
      <c r="AK44" s="89">
        <v>97</v>
      </c>
      <c r="AL44" s="28">
        <f t="shared" si="1"/>
        <v>97</v>
      </c>
      <c r="AM44" s="89">
        <v>97</v>
      </c>
      <c r="AN44" s="89">
        <v>116</v>
      </c>
      <c r="AO44" s="89">
        <v>134</v>
      </c>
      <c r="AP44" s="89">
        <v>129</v>
      </c>
      <c r="AQ44" s="28">
        <f t="shared" si="2"/>
        <v>129</v>
      </c>
      <c r="AR44" s="89">
        <v>131</v>
      </c>
      <c r="AS44" s="89">
        <v>140</v>
      </c>
      <c r="AT44" s="89">
        <v>171</v>
      </c>
      <c r="AU44" s="89">
        <v>159</v>
      </c>
      <c r="AV44" s="28">
        <f t="shared" si="3"/>
        <v>159</v>
      </c>
      <c r="AW44" s="89">
        <v>187</v>
      </c>
      <c r="AX44" s="89">
        <v>205</v>
      </c>
      <c r="AY44" s="89">
        <v>220</v>
      </c>
      <c r="AZ44" s="89">
        <v>215</v>
      </c>
      <c r="BA44" s="28">
        <f t="shared" si="19"/>
        <v>215</v>
      </c>
      <c r="BB44" s="89">
        <v>181</v>
      </c>
      <c r="BC44" s="89">
        <v>171</v>
      </c>
      <c r="BD44" s="89">
        <v>174</v>
      </c>
      <c r="BE44" s="89">
        <v>173</v>
      </c>
      <c r="BF44" s="28">
        <f t="shared" si="20"/>
        <v>173</v>
      </c>
      <c r="BG44" s="89">
        <v>167</v>
      </c>
      <c r="BH44" s="89">
        <v>184</v>
      </c>
      <c r="BI44" s="89">
        <v>195</v>
      </c>
      <c r="BJ44" s="89">
        <v>159</v>
      </c>
      <c r="BK44" s="28">
        <f t="shared" si="5"/>
        <v>159</v>
      </c>
      <c r="BL44" s="89">
        <v>173</v>
      </c>
      <c r="BM44" s="89">
        <v>205</v>
      </c>
      <c r="BN44" s="89"/>
      <c r="BO44" s="89"/>
      <c r="BP44" s="28">
        <f t="shared" si="21"/>
        <v>205</v>
      </c>
    </row>
    <row r="45" spans="3:68" ht="13.5">
      <c r="C45" s="103" t="s">
        <v>144</v>
      </c>
      <c r="D45" s="150">
        <v>811</v>
      </c>
      <c r="E45" s="150">
        <v>894</v>
      </c>
      <c r="F45" s="150">
        <v>962</v>
      </c>
      <c r="G45" s="153">
        <v>927</v>
      </c>
      <c r="H45" s="105">
        <v>927</v>
      </c>
      <c r="I45" s="150">
        <v>1087</v>
      </c>
      <c r="J45" s="150">
        <v>1090</v>
      </c>
      <c r="K45" s="150">
        <v>980</v>
      </c>
      <c r="L45" s="153">
        <v>940</v>
      </c>
      <c r="M45" s="105">
        <v>940</v>
      </c>
      <c r="N45" s="150">
        <v>1014</v>
      </c>
      <c r="O45" s="150">
        <v>929</v>
      </c>
      <c r="P45" s="150">
        <v>1004</v>
      </c>
      <c r="Q45" s="153">
        <v>954</v>
      </c>
      <c r="R45" s="105">
        <v>954</v>
      </c>
      <c r="S45" s="150">
        <v>1178</v>
      </c>
      <c r="T45" s="150">
        <v>1025</v>
      </c>
      <c r="U45" s="150">
        <v>1040</v>
      </c>
      <c r="V45" s="150">
        <v>1036</v>
      </c>
      <c r="W45" s="105">
        <v>1036</v>
      </c>
      <c r="X45" s="150">
        <v>1269</v>
      </c>
      <c r="Y45" s="150">
        <v>1080</v>
      </c>
      <c r="Z45" s="150">
        <v>1190</v>
      </c>
      <c r="AA45" s="150">
        <v>1498</v>
      </c>
      <c r="AB45" s="105">
        <v>1498</v>
      </c>
      <c r="AC45" s="150">
        <v>2022</v>
      </c>
      <c r="AD45" s="150">
        <v>1388</v>
      </c>
      <c r="AE45" s="150">
        <v>1438</v>
      </c>
      <c r="AF45" s="150">
        <v>1321</v>
      </c>
      <c r="AG45" s="105">
        <v>1321</v>
      </c>
      <c r="AH45" s="150">
        <v>1929</v>
      </c>
      <c r="AI45" s="150">
        <v>1364</v>
      </c>
      <c r="AJ45" s="150">
        <v>1496</v>
      </c>
      <c r="AK45" s="150">
        <v>1572</v>
      </c>
      <c r="AL45" s="105">
        <f t="shared" si="1"/>
        <v>1572</v>
      </c>
      <c r="AM45" s="150">
        <v>2142</v>
      </c>
      <c r="AN45" s="150">
        <v>1850</v>
      </c>
      <c r="AO45" s="150">
        <v>1962</v>
      </c>
      <c r="AP45" s="150">
        <v>2170</v>
      </c>
      <c r="AQ45" s="105">
        <f t="shared" si="2"/>
        <v>2170</v>
      </c>
      <c r="AR45" s="150">
        <v>2331</v>
      </c>
      <c r="AS45" s="150">
        <v>2263</v>
      </c>
      <c r="AT45" s="150">
        <v>2532</v>
      </c>
      <c r="AU45" s="150">
        <v>2403</v>
      </c>
      <c r="AV45" s="105">
        <f t="shared" si="3"/>
        <v>2403</v>
      </c>
      <c r="AW45" s="150">
        <v>3007</v>
      </c>
      <c r="AX45" s="150">
        <v>2185</v>
      </c>
      <c r="AY45" s="150">
        <v>2001</v>
      </c>
      <c r="AZ45" s="150">
        <v>2099</v>
      </c>
      <c r="BA45" s="105">
        <f>AZ45</f>
        <v>2099</v>
      </c>
      <c r="BB45" s="150">
        <v>3488</v>
      </c>
      <c r="BC45" s="150">
        <v>2201</v>
      </c>
      <c r="BD45" s="150">
        <v>2038</v>
      </c>
      <c r="BE45" s="150">
        <v>2157</v>
      </c>
      <c r="BF45" s="105">
        <f>BE45</f>
        <v>2157</v>
      </c>
      <c r="BG45" s="150">
        <v>2149</v>
      </c>
      <c r="BH45" s="150">
        <v>2219</v>
      </c>
      <c r="BI45" s="150">
        <v>2217</v>
      </c>
      <c r="BJ45" s="150">
        <v>2247</v>
      </c>
      <c r="BK45" s="105">
        <f t="shared" si="5"/>
        <v>2247</v>
      </c>
      <c r="BL45" s="150">
        <v>2245</v>
      </c>
      <c r="BM45" s="150">
        <v>2249</v>
      </c>
      <c r="BN45" s="150"/>
      <c r="BO45" s="150"/>
      <c r="BP45" s="105">
        <f t="shared" si="21"/>
        <v>2249</v>
      </c>
    </row>
    <row r="46" spans="3:68">
      <c r="C46" s="104"/>
      <c r="D46" s="89">
        <f t="shared" ref="D46:V46" si="22">SUM(D36:D45)</f>
        <v>1656</v>
      </c>
      <c r="E46" s="89">
        <f t="shared" si="22"/>
        <v>1725</v>
      </c>
      <c r="F46" s="89">
        <f t="shared" si="22"/>
        <v>1795</v>
      </c>
      <c r="G46" s="89">
        <f t="shared" si="22"/>
        <v>1820</v>
      </c>
      <c r="H46" s="28">
        <f t="shared" si="22"/>
        <v>1820</v>
      </c>
      <c r="I46" s="89">
        <f t="shared" si="22"/>
        <v>2062</v>
      </c>
      <c r="J46" s="89">
        <f t="shared" si="22"/>
        <v>2006</v>
      </c>
      <c r="K46" s="89">
        <f t="shared" si="22"/>
        <v>1930</v>
      </c>
      <c r="L46" s="89">
        <f t="shared" si="22"/>
        <v>1998</v>
      </c>
      <c r="M46" s="28">
        <f t="shared" si="22"/>
        <v>1998</v>
      </c>
      <c r="N46" s="89">
        <f t="shared" si="22"/>
        <v>2184</v>
      </c>
      <c r="O46" s="89">
        <f t="shared" si="22"/>
        <v>2086</v>
      </c>
      <c r="P46" s="89">
        <f t="shared" si="22"/>
        <v>2168</v>
      </c>
      <c r="Q46" s="89">
        <f t="shared" si="22"/>
        <v>2161</v>
      </c>
      <c r="R46" s="28">
        <f t="shared" si="22"/>
        <v>2161</v>
      </c>
      <c r="S46" s="89">
        <f t="shared" si="22"/>
        <v>2522</v>
      </c>
      <c r="T46" s="89">
        <f t="shared" si="22"/>
        <v>2417</v>
      </c>
      <c r="U46" s="89">
        <f t="shared" si="22"/>
        <v>2201</v>
      </c>
      <c r="V46" s="89">
        <f t="shared" si="22"/>
        <v>2114</v>
      </c>
      <c r="W46" s="28">
        <f>SUM(W36:W45)</f>
        <v>2114</v>
      </c>
      <c r="X46" s="89">
        <f>SUM(X36:X45)</f>
        <v>2365</v>
      </c>
      <c r="Y46" s="89">
        <f>SUM(Y36:Y45)</f>
        <v>2130</v>
      </c>
      <c r="Z46" s="89">
        <f>SUM(Z36:Z45)</f>
        <v>2407</v>
      </c>
      <c r="AA46" s="89">
        <f>SUM(AA36:AA45)</f>
        <v>2693</v>
      </c>
      <c r="AB46" s="28">
        <v>2693</v>
      </c>
      <c r="AC46" s="89">
        <f>SUM(AC36:AC45)</f>
        <v>3463</v>
      </c>
      <c r="AD46" s="89">
        <f>SUM(AD36:AD45)</f>
        <v>2711</v>
      </c>
      <c r="AE46" s="89">
        <f>SUM(AE36:AE45)</f>
        <v>2802</v>
      </c>
      <c r="AF46" s="89">
        <f>SUM(AF36:AF45)</f>
        <v>2757</v>
      </c>
      <c r="AG46" s="28">
        <v>2757</v>
      </c>
      <c r="AH46" s="89">
        <f>SUM(AH36:AH45)</f>
        <v>3429</v>
      </c>
      <c r="AI46" s="89">
        <f>SUM(AI36:AI45)</f>
        <v>2804</v>
      </c>
      <c r="AJ46" s="89">
        <f>SUM(AJ36:AJ45)</f>
        <v>3066</v>
      </c>
      <c r="AK46" s="89">
        <f>SUM(AK36:AK45)</f>
        <v>3264</v>
      </c>
      <c r="AL46" s="28">
        <f t="shared" si="1"/>
        <v>3264</v>
      </c>
      <c r="AM46" s="89">
        <f>SUM(AM36:AM45)</f>
        <v>3974</v>
      </c>
      <c r="AN46" s="89">
        <f>SUM(AN36:AN45)</f>
        <v>3730</v>
      </c>
      <c r="AO46" s="89">
        <f>SUM(AO36:AO45)</f>
        <v>4192</v>
      </c>
      <c r="AP46" s="89">
        <f>SUM(AP36:AP45)</f>
        <v>4433</v>
      </c>
      <c r="AQ46" s="28">
        <f t="shared" si="2"/>
        <v>4433</v>
      </c>
      <c r="AR46" s="89">
        <f>SUM(AR36:AR45)</f>
        <v>4643</v>
      </c>
      <c r="AS46" s="89">
        <f>SUM(AS36:AS45)</f>
        <v>4589</v>
      </c>
      <c r="AT46" s="89">
        <f>SUM(AT36:AT45)</f>
        <v>4981</v>
      </c>
      <c r="AU46" s="89">
        <f>SUM(AU36:AU45)</f>
        <v>4769</v>
      </c>
      <c r="AV46" s="28">
        <f t="shared" si="3"/>
        <v>4769</v>
      </c>
      <c r="AW46" s="89">
        <f>SUM(AW36:AW45)</f>
        <v>5667</v>
      </c>
      <c r="AX46" s="89">
        <f>SUM(AX36:AX45)</f>
        <v>4679</v>
      </c>
      <c r="AY46" s="89">
        <f>SUM(AY36:AY45)</f>
        <v>4678</v>
      </c>
      <c r="AZ46" s="89">
        <f>SUM(AZ36:AZ45)</f>
        <v>4651</v>
      </c>
      <c r="BA46" s="28">
        <f>AZ46</f>
        <v>4651</v>
      </c>
      <c r="BB46" s="89">
        <f>SUM(BB36:BB45)</f>
        <v>6086</v>
      </c>
      <c r="BC46" s="89">
        <f>SUM(BC36:BC45)</f>
        <v>4871</v>
      </c>
      <c r="BD46" s="89">
        <f>SUM(BD36:BD45)</f>
        <v>4803</v>
      </c>
      <c r="BE46" s="89">
        <f>SUM(BE36:BE45)</f>
        <v>5012</v>
      </c>
      <c r="BF46" s="28">
        <f>BE46</f>
        <v>5012</v>
      </c>
      <c r="BG46" s="89">
        <f>SUM(BG36:BG45)</f>
        <v>5154</v>
      </c>
      <c r="BH46" s="89">
        <f>SUM(BH36:BH45)</f>
        <v>5224</v>
      </c>
      <c r="BI46" s="89">
        <f>SUM(BI36:BI45)</f>
        <v>5555</v>
      </c>
      <c r="BJ46" s="89">
        <f>SUM(BJ36:BJ45)</f>
        <v>5516</v>
      </c>
      <c r="BK46" s="28">
        <f t="shared" si="5"/>
        <v>5516</v>
      </c>
      <c r="BL46" s="89">
        <f>SUM(BL36:BL45)</f>
        <v>5588</v>
      </c>
      <c r="BM46" s="89">
        <f>SUM(BM36:BM45)</f>
        <v>5590</v>
      </c>
      <c r="BN46" s="89"/>
      <c r="BO46" s="89"/>
      <c r="BP46" s="28">
        <f t="shared" si="21"/>
        <v>5590</v>
      </c>
    </row>
    <row r="47" spans="3:68" ht="13.5">
      <c r="C47" s="103" t="s">
        <v>145</v>
      </c>
      <c r="D47" s="150">
        <v>0</v>
      </c>
      <c r="E47" s="150">
        <v>0</v>
      </c>
      <c r="F47" s="150">
        <v>0</v>
      </c>
      <c r="G47" s="150">
        <v>0</v>
      </c>
      <c r="H47" s="105">
        <v>0</v>
      </c>
      <c r="I47" s="150">
        <v>0</v>
      </c>
      <c r="J47" s="150">
        <v>0</v>
      </c>
      <c r="K47" s="150">
        <v>0</v>
      </c>
      <c r="L47" s="150">
        <v>0</v>
      </c>
      <c r="M47" s="105">
        <v>0</v>
      </c>
      <c r="N47" s="150">
        <v>0</v>
      </c>
      <c r="O47" s="150">
        <v>0</v>
      </c>
      <c r="P47" s="150">
        <v>0</v>
      </c>
      <c r="Q47" s="150">
        <v>0</v>
      </c>
      <c r="R47" s="105">
        <v>0</v>
      </c>
      <c r="S47" s="150">
        <v>0</v>
      </c>
      <c r="T47" s="150">
        <v>0</v>
      </c>
      <c r="U47" s="150">
        <v>0</v>
      </c>
      <c r="V47" s="150">
        <v>50</v>
      </c>
      <c r="W47" s="105">
        <v>50</v>
      </c>
      <c r="X47" s="150">
        <v>50</v>
      </c>
      <c r="Y47" s="150">
        <v>48</v>
      </c>
      <c r="Z47" s="150">
        <v>0</v>
      </c>
      <c r="AA47" s="150">
        <v>0</v>
      </c>
      <c r="AB47" s="105">
        <v>0</v>
      </c>
      <c r="AC47" s="150">
        <v>0</v>
      </c>
      <c r="AD47" s="150">
        <v>0</v>
      </c>
      <c r="AE47" s="150">
        <v>0</v>
      </c>
      <c r="AF47" s="150">
        <v>0</v>
      </c>
      <c r="AG47" s="105">
        <v>0</v>
      </c>
      <c r="AH47" s="150">
        <v>0</v>
      </c>
      <c r="AI47" s="150">
        <v>0</v>
      </c>
      <c r="AJ47" s="150">
        <v>0</v>
      </c>
      <c r="AK47" s="150">
        <v>0</v>
      </c>
      <c r="AL47" s="105">
        <f t="shared" si="1"/>
        <v>0</v>
      </c>
      <c r="AM47" s="150">
        <v>0</v>
      </c>
      <c r="AN47" s="150">
        <v>0</v>
      </c>
      <c r="AO47" s="150">
        <v>0</v>
      </c>
      <c r="AP47" s="150">
        <v>0</v>
      </c>
      <c r="AQ47" s="105">
        <f t="shared" si="2"/>
        <v>0</v>
      </c>
      <c r="AR47" s="150">
        <v>0</v>
      </c>
      <c r="AS47" s="150">
        <v>0</v>
      </c>
      <c r="AT47" s="150">
        <v>0</v>
      </c>
      <c r="AU47" s="150">
        <v>0</v>
      </c>
      <c r="AV47" s="105">
        <f t="shared" si="3"/>
        <v>0</v>
      </c>
      <c r="AW47" s="150">
        <v>0</v>
      </c>
      <c r="AX47" s="150">
        <v>0</v>
      </c>
      <c r="AY47" s="150">
        <v>0</v>
      </c>
      <c r="AZ47" s="150">
        <v>0</v>
      </c>
      <c r="BA47" s="105">
        <f>AZ47</f>
        <v>0</v>
      </c>
      <c r="BB47" s="150">
        <v>0</v>
      </c>
      <c r="BC47" s="150">
        <v>0</v>
      </c>
      <c r="BD47" s="150">
        <v>0</v>
      </c>
      <c r="BE47" s="150">
        <v>0</v>
      </c>
      <c r="BF47" s="105">
        <f>BE47</f>
        <v>0</v>
      </c>
      <c r="BG47" s="150">
        <v>0</v>
      </c>
      <c r="BH47" s="150">
        <v>0</v>
      </c>
      <c r="BI47" s="150">
        <v>0</v>
      </c>
      <c r="BJ47" s="150">
        <v>0</v>
      </c>
      <c r="BK47" s="105">
        <f t="shared" si="5"/>
        <v>0</v>
      </c>
      <c r="BL47" s="150">
        <v>0</v>
      </c>
      <c r="BM47" s="150">
        <v>0</v>
      </c>
      <c r="BN47" s="150"/>
      <c r="BO47" s="150"/>
      <c r="BP47" s="105">
        <f t="shared" si="21"/>
        <v>0</v>
      </c>
    </row>
    <row r="48" spans="3:68" s="39" customFormat="1">
      <c r="C48" s="102" t="s">
        <v>146</v>
      </c>
      <c r="D48" s="23">
        <f t="shared" ref="D48:W48" si="23">D47+D46</f>
        <v>1656</v>
      </c>
      <c r="E48" s="23">
        <f t="shared" si="23"/>
        <v>1725</v>
      </c>
      <c r="F48" s="23">
        <f t="shared" si="23"/>
        <v>1795</v>
      </c>
      <c r="G48" s="23">
        <f t="shared" si="23"/>
        <v>1820</v>
      </c>
      <c r="H48" s="24">
        <f t="shared" si="23"/>
        <v>1820</v>
      </c>
      <c r="I48" s="23">
        <f t="shared" si="23"/>
        <v>2062</v>
      </c>
      <c r="J48" s="23">
        <f t="shared" si="23"/>
        <v>2006</v>
      </c>
      <c r="K48" s="23">
        <f t="shared" si="23"/>
        <v>1930</v>
      </c>
      <c r="L48" s="23">
        <f t="shared" si="23"/>
        <v>1998</v>
      </c>
      <c r="M48" s="24">
        <f t="shared" si="23"/>
        <v>1998</v>
      </c>
      <c r="N48" s="23">
        <f t="shared" si="23"/>
        <v>2184</v>
      </c>
      <c r="O48" s="23">
        <f t="shared" si="23"/>
        <v>2086</v>
      </c>
      <c r="P48" s="23">
        <f t="shared" si="23"/>
        <v>2168</v>
      </c>
      <c r="Q48" s="23">
        <f t="shared" si="23"/>
        <v>2161</v>
      </c>
      <c r="R48" s="24">
        <f t="shared" si="23"/>
        <v>2161</v>
      </c>
      <c r="S48" s="23">
        <f t="shared" si="23"/>
        <v>2522</v>
      </c>
      <c r="T48" s="23">
        <f t="shared" si="23"/>
        <v>2417</v>
      </c>
      <c r="U48" s="23">
        <f t="shared" si="23"/>
        <v>2201</v>
      </c>
      <c r="V48" s="23">
        <f t="shared" si="23"/>
        <v>2164</v>
      </c>
      <c r="W48" s="24">
        <f t="shared" si="23"/>
        <v>2164</v>
      </c>
      <c r="X48" s="23">
        <f>X47+X46</f>
        <v>2415</v>
      </c>
      <c r="Y48" s="23">
        <f>Y47+Y46</f>
        <v>2178</v>
      </c>
      <c r="Z48" s="23">
        <f>Z47+Z46</f>
        <v>2407</v>
      </c>
      <c r="AA48" s="23">
        <f>AA47+AA46</f>
        <v>2693</v>
      </c>
      <c r="AB48" s="24">
        <v>2693</v>
      </c>
      <c r="AC48" s="23">
        <f>AC47+AC46</f>
        <v>3463</v>
      </c>
      <c r="AD48" s="23">
        <f>AD47+AD46</f>
        <v>2711</v>
      </c>
      <c r="AE48" s="23">
        <f>AE47+AE46</f>
        <v>2802</v>
      </c>
      <c r="AF48" s="23">
        <f>AF47+AF46</f>
        <v>2757</v>
      </c>
      <c r="AG48" s="24">
        <v>2757</v>
      </c>
      <c r="AH48" s="23">
        <f>AH47+AH46</f>
        <v>3429</v>
      </c>
      <c r="AI48" s="23">
        <f>AI47+AI46</f>
        <v>2804</v>
      </c>
      <c r="AJ48" s="23">
        <f>AJ47+AJ46</f>
        <v>3066</v>
      </c>
      <c r="AK48" s="23">
        <f>AK47+AK46</f>
        <v>3264</v>
      </c>
      <c r="AL48" s="24">
        <f t="shared" si="1"/>
        <v>3264</v>
      </c>
      <c r="AM48" s="23">
        <f>AM47+AM46</f>
        <v>3974</v>
      </c>
      <c r="AN48" s="23">
        <f>AN47+AN46</f>
        <v>3730</v>
      </c>
      <c r="AO48" s="23">
        <f>AO47+AO46</f>
        <v>4192</v>
      </c>
      <c r="AP48" s="23">
        <f>AP47+AP46</f>
        <v>4433</v>
      </c>
      <c r="AQ48" s="24">
        <f t="shared" si="2"/>
        <v>4433</v>
      </c>
      <c r="AR48" s="23">
        <f>AR47+AR46</f>
        <v>4643</v>
      </c>
      <c r="AS48" s="23">
        <f>AS47+AS46</f>
        <v>4589</v>
      </c>
      <c r="AT48" s="23">
        <f>AT47+AT46</f>
        <v>4981</v>
      </c>
      <c r="AU48" s="23">
        <f>AU47+AU46</f>
        <v>4769</v>
      </c>
      <c r="AV48" s="24">
        <f t="shared" si="3"/>
        <v>4769</v>
      </c>
      <c r="AW48" s="23">
        <f>AW46+AW47</f>
        <v>5667</v>
      </c>
      <c r="AX48" s="23">
        <f>AX46+AX47</f>
        <v>4679</v>
      </c>
      <c r="AY48" s="23">
        <f>AY46+AY47</f>
        <v>4678</v>
      </c>
      <c r="AZ48" s="23">
        <f>AZ46+AZ47</f>
        <v>4651</v>
      </c>
      <c r="BA48" s="24">
        <f>AZ48</f>
        <v>4651</v>
      </c>
      <c r="BB48" s="23">
        <f>BB46+BB47</f>
        <v>6086</v>
      </c>
      <c r="BC48" s="23">
        <f>BC46+BC47</f>
        <v>4871</v>
      </c>
      <c r="BD48" s="23">
        <f>BD46+BD47</f>
        <v>4803</v>
      </c>
      <c r="BE48" s="23">
        <f>BE46+BE47</f>
        <v>5012</v>
      </c>
      <c r="BF48" s="24">
        <f>BE48</f>
        <v>5012</v>
      </c>
      <c r="BG48" s="23">
        <f>BG46+BG47</f>
        <v>5154</v>
      </c>
      <c r="BH48" s="23">
        <f>BH46+BH47</f>
        <v>5224</v>
      </c>
      <c r="BI48" s="23">
        <f>BI46+BI47</f>
        <v>5555</v>
      </c>
      <c r="BJ48" s="23">
        <f>BJ46+BJ47</f>
        <v>5516</v>
      </c>
      <c r="BK48" s="24">
        <f t="shared" si="5"/>
        <v>5516</v>
      </c>
      <c r="BL48" s="23">
        <f>BL46+BL47</f>
        <v>5588</v>
      </c>
      <c r="BM48" s="23">
        <f>BM46+BM47</f>
        <v>5590</v>
      </c>
      <c r="BN48" s="23"/>
      <c r="BO48" s="23"/>
      <c r="BP48" s="24">
        <f t="shared" si="21"/>
        <v>5590</v>
      </c>
    </row>
    <row r="49" spans="3:68" s="39" customFormat="1">
      <c r="C49" s="102" t="s">
        <v>147</v>
      </c>
      <c r="D49" s="23"/>
      <c r="E49" s="23"/>
      <c r="F49" s="23"/>
      <c r="G49" s="25"/>
      <c r="H49" s="24"/>
      <c r="I49" s="23"/>
      <c r="J49" s="23"/>
      <c r="K49" s="23"/>
      <c r="L49" s="25"/>
      <c r="M49" s="24"/>
      <c r="N49" s="23"/>
      <c r="O49" s="23"/>
      <c r="P49" s="23"/>
      <c r="Q49" s="25"/>
      <c r="R49" s="24"/>
      <c r="S49" s="23"/>
      <c r="T49" s="23"/>
      <c r="U49" s="23"/>
      <c r="V49" s="23"/>
      <c r="W49" s="24"/>
      <c r="X49" s="23"/>
      <c r="Y49" s="23"/>
      <c r="Z49" s="23"/>
      <c r="AA49" s="23"/>
      <c r="AB49" s="24"/>
      <c r="AC49" s="23"/>
      <c r="AD49" s="23"/>
      <c r="AE49" s="23"/>
      <c r="AF49" s="23"/>
      <c r="AG49" s="24"/>
      <c r="AH49" s="23"/>
      <c r="AI49" s="23"/>
      <c r="AJ49" s="23"/>
      <c r="AK49" s="23"/>
      <c r="AL49" s="24"/>
      <c r="AM49" s="23"/>
      <c r="AN49" s="23"/>
      <c r="AO49" s="23"/>
      <c r="AP49" s="23"/>
      <c r="AQ49" s="24"/>
      <c r="AR49" s="23"/>
      <c r="AS49" s="23"/>
      <c r="AT49" s="23"/>
      <c r="AU49" s="23"/>
      <c r="AV49" s="24"/>
      <c r="AW49" s="23"/>
      <c r="AX49" s="23"/>
      <c r="AY49" s="23"/>
      <c r="AZ49" s="23"/>
      <c r="BA49" s="24"/>
      <c r="BB49" s="23"/>
      <c r="BC49" s="23"/>
      <c r="BD49" s="23"/>
      <c r="BE49" s="23"/>
      <c r="BF49" s="24"/>
      <c r="BG49" s="23"/>
      <c r="BH49" s="23"/>
      <c r="BI49" s="23"/>
      <c r="BJ49" s="23"/>
      <c r="BK49" s="24"/>
      <c r="BL49" s="23"/>
      <c r="BM49" s="23"/>
      <c r="BN49" s="23"/>
      <c r="BO49" s="23"/>
      <c r="BP49" s="24"/>
    </row>
    <row r="50" spans="3:68" s="39" customFormat="1">
      <c r="C50" s="103" t="s">
        <v>138</v>
      </c>
      <c r="D50" s="23"/>
      <c r="E50" s="23"/>
      <c r="F50" s="23"/>
      <c r="G50" s="25"/>
      <c r="H50" s="24"/>
      <c r="I50" s="23"/>
      <c r="J50" s="23"/>
      <c r="K50" s="23"/>
      <c r="L50" s="25"/>
      <c r="M50" s="24"/>
      <c r="N50" s="23"/>
      <c r="O50" s="23"/>
      <c r="P50" s="23"/>
      <c r="Q50" s="25"/>
      <c r="R50" s="24"/>
      <c r="S50" s="23"/>
      <c r="T50" s="23"/>
      <c r="U50" s="23"/>
      <c r="V50" s="23"/>
      <c r="W50" s="24"/>
      <c r="X50" s="23"/>
      <c r="Y50" s="23"/>
      <c r="Z50" s="23"/>
      <c r="AA50" s="23"/>
      <c r="AB50" s="24"/>
      <c r="AC50" s="19">
        <v>483</v>
      </c>
      <c r="AD50" s="19">
        <v>503</v>
      </c>
      <c r="AE50" s="19">
        <v>501</v>
      </c>
      <c r="AF50" s="19">
        <v>530</v>
      </c>
      <c r="AG50" s="28">
        <v>530</v>
      </c>
      <c r="AH50" s="19">
        <v>512</v>
      </c>
      <c r="AI50" s="19">
        <v>551</v>
      </c>
      <c r="AJ50" s="19">
        <v>600</v>
      </c>
      <c r="AK50" s="19">
        <v>627</v>
      </c>
      <c r="AL50" s="28">
        <f t="shared" si="1"/>
        <v>627</v>
      </c>
      <c r="AM50" s="19">
        <v>591</v>
      </c>
      <c r="AN50" s="19">
        <v>587</v>
      </c>
      <c r="AO50" s="19">
        <v>603</v>
      </c>
      <c r="AP50" s="19">
        <v>607</v>
      </c>
      <c r="AQ50" s="28">
        <f t="shared" si="2"/>
        <v>607</v>
      </c>
      <c r="AR50" s="19">
        <v>655</v>
      </c>
      <c r="AS50" s="19">
        <v>685</v>
      </c>
      <c r="AT50" s="19">
        <v>795</v>
      </c>
      <c r="AU50" s="19">
        <v>859</v>
      </c>
      <c r="AV50" s="28">
        <f t="shared" si="3"/>
        <v>859</v>
      </c>
      <c r="AW50" s="19">
        <v>812</v>
      </c>
      <c r="AX50" s="19">
        <v>798</v>
      </c>
      <c r="AY50" s="19">
        <v>802</v>
      </c>
      <c r="AZ50" s="19">
        <v>767</v>
      </c>
      <c r="BA50" s="28">
        <f>AZ50</f>
        <v>767</v>
      </c>
      <c r="BB50" s="19">
        <v>740</v>
      </c>
      <c r="BC50" s="19">
        <v>756</v>
      </c>
      <c r="BD50" s="19">
        <v>667</v>
      </c>
      <c r="BE50" s="19">
        <v>675</v>
      </c>
      <c r="BF50" s="28">
        <f>BE50</f>
        <v>675</v>
      </c>
      <c r="BG50" s="19">
        <v>693</v>
      </c>
      <c r="BH50" s="19">
        <v>674</v>
      </c>
      <c r="BI50" s="19">
        <v>646</v>
      </c>
      <c r="BJ50" s="19">
        <v>634</v>
      </c>
      <c r="BK50" s="28">
        <f t="shared" si="5"/>
        <v>634</v>
      </c>
      <c r="BL50" s="19">
        <v>563</v>
      </c>
      <c r="BM50" s="19">
        <v>516</v>
      </c>
      <c r="BN50" s="19"/>
      <c r="BO50" s="19"/>
      <c r="BP50" s="28">
        <f>BM50</f>
        <v>516</v>
      </c>
    </row>
    <row r="51" spans="3:68">
      <c r="C51" s="103" t="s">
        <v>148</v>
      </c>
      <c r="D51" s="19">
        <v>10</v>
      </c>
      <c r="E51" s="19">
        <v>9</v>
      </c>
      <c r="F51" s="19">
        <v>8</v>
      </c>
      <c r="G51" s="29">
        <v>25</v>
      </c>
      <c r="H51" s="28">
        <v>25</v>
      </c>
      <c r="I51" s="19">
        <v>45</v>
      </c>
      <c r="J51" s="19">
        <v>42</v>
      </c>
      <c r="K51" s="19">
        <v>40</v>
      </c>
      <c r="L51" s="29">
        <v>39</v>
      </c>
      <c r="M51" s="28">
        <v>39</v>
      </c>
      <c r="N51" s="19">
        <v>37</v>
      </c>
      <c r="O51" s="19">
        <v>36</v>
      </c>
      <c r="P51" s="19">
        <v>32</v>
      </c>
      <c r="Q51" s="29">
        <v>32</v>
      </c>
      <c r="R51" s="28">
        <v>32</v>
      </c>
      <c r="S51" s="19">
        <v>29</v>
      </c>
      <c r="T51" s="19">
        <v>29</v>
      </c>
      <c r="U51" s="19">
        <v>100</v>
      </c>
      <c r="V51" s="19">
        <v>82</v>
      </c>
      <c r="W51" s="28">
        <v>82</v>
      </c>
      <c r="X51" s="19">
        <v>74</v>
      </c>
      <c r="Y51" s="19">
        <v>66</v>
      </c>
      <c r="Z51" s="19">
        <v>76</v>
      </c>
      <c r="AA51" s="19">
        <v>98</v>
      </c>
      <c r="AB51" s="28">
        <v>98</v>
      </c>
      <c r="AC51" s="19">
        <v>112</v>
      </c>
      <c r="AD51" s="19">
        <v>99</v>
      </c>
      <c r="AE51" s="19">
        <v>88</v>
      </c>
      <c r="AF51" s="19">
        <v>128</v>
      </c>
      <c r="AG51" s="28">
        <v>128</v>
      </c>
      <c r="AH51" s="19">
        <v>123</v>
      </c>
      <c r="AI51" s="19">
        <v>117</v>
      </c>
      <c r="AJ51" s="19">
        <v>115</v>
      </c>
      <c r="AK51" s="19">
        <v>120</v>
      </c>
      <c r="AL51" s="28">
        <f t="shared" si="1"/>
        <v>120</v>
      </c>
      <c r="AM51" s="19">
        <v>113</v>
      </c>
      <c r="AN51" s="19">
        <v>115</v>
      </c>
      <c r="AO51" s="19">
        <v>113</v>
      </c>
      <c r="AP51" s="19">
        <v>153</v>
      </c>
      <c r="AQ51" s="28">
        <f t="shared" si="2"/>
        <v>153</v>
      </c>
      <c r="AR51" s="19">
        <v>144</v>
      </c>
      <c r="AS51" s="19">
        <v>137</v>
      </c>
      <c r="AT51" s="19">
        <v>128</v>
      </c>
      <c r="AU51" s="19">
        <v>149</v>
      </c>
      <c r="AV51" s="28">
        <f t="shared" si="3"/>
        <v>149</v>
      </c>
      <c r="AW51" s="19">
        <v>136</v>
      </c>
      <c r="AX51" s="19">
        <v>124</v>
      </c>
      <c r="AY51" s="19">
        <v>113</v>
      </c>
      <c r="AZ51" s="19">
        <v>216</v>
      </c>
      <c r="BA51" s="28">
        <f>AZ51</f>
        <v>216</v>
      </c>
      <c r="BB51" s="19">
        <v>177</v>
      </c>
      <c r="BC51" s="19">
        <v>201</v>
      </c>
      <c r="BD51" s="19">
        <v>181</v>
      </c>
      <c r="BE51" s="19">
        <v>202</v>
      </c>
      <c r="BF51" s="28">
        <f>BE51</f>
        <v>202</v>
      </c>
      <c r="BG51" s="19">
        <v>204</v>
      </c>
      <c r="BH51" s="19">
        <v>190</v>
      </c>
      <c r="BI51" s="19">
        <v>177</v>
      </c>
      <c r="BJ51" s="19">
        <v>177</v>
      </c>
      <c r="BK51" s="28">
        <f t="shared" si="5"/>
        <v>177</v>
      </c>
      <c r="BL51" s="19">
        <v>211</v>
      </c>
      <c r="BM51" s="19">
        <v>197</v>
      </c>
      <c r="BN51" s="19"/>
      <c r="BO51" s="19"/>
      <c r="BP51" s="28">
        <f t="shared" ref="BP51:BP54" si="24">BM51</f>
        <v>197</v>
      </c>
    </row>
    <row r="52" spans="3:68">
      <c r="C52" s="103" t="s">
        <v>149</v>
      </c>
      <c r="D52" s="89">
        <v>59</v>
      </c>
      <c r="E52" s="89">
        <v>63</v>
      </c>
      <c r="F52" s="89">
        <v>10</v>
      </c>
      <c r="G52" s="90">
        <v>8</v>
      </c>
      <c r="H52" s="28">
        <v>8</v>
      </c>
      <c r="I52" s="89">
        <v>18</v>
      </c>
      <c r="J52" s="89">
        <v>19</v>
      </c>
      <c r="K52" s="89">
        <v>24</v>
      </c>
      <c r="L52" s="90">
        <v>17</v>
      </c>
      <c r="M52" s="28">
        <v>17</v>
      </c>
      <c r="N52" s="89">
        <v>20</v>
      </c>
      <c r="O52" s="89">
        <v>23</v>
      </c>
      <c r="P52" s="89">
        <v>26</v>
      </c>
      <c r="Q52" s="90">
        <v>24</v>
      </c>
      <c r="R52" s="28">
        <v>24</v>
      </c>
      <c r="S52" s="89">
        <v>18</v>
      </c>
      <c r="T52" s="89">
        <v>21</v>
      </c>
      <c r="U52" s="89">
        <v>36</v>
      </c>
      <c r="V52" s="89">
        <v>42</v>
      </c>
      <c r="W52" s="28">
        <v>42</v>
      </c>
      <c r="X52" s="89">
        <v>49</v>
      </c>
      <c r="Y52" s="89">
        <v>50</v>
      </c>
      <c r="Z52" s="89">
        <v>63</v>
      </c>
      <c r="AA52" s="89">
        <v>55</v>
      </c>
      <c r="AB52" s="28">
        <v>55</v>
      </c>
      <c r="AC52" s="89">
        <v>115</v>
      </c>
      <c r="AD52" s="89">
        <v>113</v>
      </c>
      <c r="AE52" s="89">
        <v>136</v>
      </c>
      <c r="AF52" s="89">
        <v>139</v>
      </c>
      <c r="AG52" s="28">
        <v>139</v>
      </c>
      <c r="AH52" s="89">
        <v>158</v>
      </c>
      <c r="AI52" s="89">
        <v>200</v>
      </c>
      <c r="AJ52" s="89">
        <v>218</v>
      </c>
      <c r="AK52" s="89">
        <v>299</v>
      </c>
      <c r="AL52" s="28">
        <f t="shared" si="1"/>
        <v>299</v>
      </c>
      <c r="AM52" s="89">
        <v>310</v>
      </c>
      <c r="AN52" s="89">
        <v>372</v>
      </c>
      <c r="AO52" s="89">
        <v>366</v>
      </c>
      <c r="AP52" s="89">
        <v>356</v>
      </c>
      <c r="AQ52" s="28">
        <f t="shared" si="2"/>
        <v>356</v>
      </c>
      <c r="AR52" s="89">
        <v>354</v>
      </c>
      <c r="AS52" s="89">
        <v>342</v>
      </c>
      <c r="AT52" s="89">
        <v>286</v>
      </c>
      <c r="AU52" s="89">
        <v>301</v>
      </c>
      <c r="AV52" s="28">
        <f t="shared" si="3"/>
        <v>301</v>
      </c>
      <c r="AW52" s="89">
        <v>261</v>
      </c>
      <c r="AX52" s="89">
        <v>307</v>
      </c>
      <c r="AY52" s="89">
        <v>334</v>
      </c>
      <c r="AZ52" s="89">
        <v>273</v>
      </c>
      <c r="BA52" s="28">
        <f>AZ52</f>
        <v>273</v>
      </c>
      <c r="BB52" s="89">
        <v>253</v>
      </c>
      <c r="BC52" s="89">
        <v>249</v>
      </c>
      <c r="BD52" s="89">
        <v>273</v>
      </c>
      <c r="BE52" s="89">
        <v>264</v>
      </c>
      <c r="BF52" s="28">
        <f>BE52</f>
        <v>264</v>
      </c>
      <c r="BG52" s="89">
        <v>264</v>
      </c>
      <c r="BH52" s="89">
        <v>277</v>
      </c>
      <c r="BI52" s="89">
        <v>276</v>
      </c>
      <c r="BJ52" s="89">
        <v>267</v>
      </c>
      <c r="BK52" s="28">
        <f t="shared" si="5"/>
        <v>267</v>
      </c>
      <c r="BL52" s="89">
        <v>311</v>
      </c>
      <c r="BM52" s="89">
        <v>355</v>
      </c>
      <c r="BN52" s="89"/>
      <c r="BO52" s="89"/>
      <c r="BP52" s="28">
        <f t="shared" si="24"/>
        <v>355</v>
      </c>
    </row>
    <row r="53" spans="3:68" ht="13.5">
      <c r="C53" s="103" t="s">
        <v>142</v>
      </c>
      <c r="D53" s="150">
        <v>0</v>
      </c>
      <c r="E53" s="150">
        <v>0</v>
      </c>
      <c r="F53" s="150">
        <v>0</v>
      </c>
      <c r="G53" s="150">
        <v>0</v>
      </c>
      <c r="H53" s="105">
        <v>0</v>
      </c>
      <c r="I53" s="150">
        <v>0</v>
      </c>
      <c r="J53" s="150">
        <v>0</v>
      </c>
      <c r="K53" s="150">
        <v>0</v>
      </c>
      <c r="L53" s="150">
        <v>0</v>
      </c>
      <c r="M53" s="105">
        <v>0</v>
      </c>
      <c r="N53" s="150">
        <v>0</v>
      </c>
      <c r="O53" s="150">
        <v>0</v>
      </c>
      <c r="P53" s="150">
        <v>0</v>
      </c>
      <c r="Q53" s="150">
        <v>0</v>
      </c>
      <c r="R53" s="105">
        <v>0</v>
      </c>
      <c r="S53" s="150">
        <v>0</v>
      </c>
      <c r="T53" s="150">
        <v>0</v>
      </c>
      <c r="U53" s="150">
        <v>8</v>
      </c>
      <c r="V53" s="150">
        <v>7</v>
      </c>
      <c r="W53" s="105">
        <v>7</v>
      </c>
      <c r="X53" s="150">
        <v>6</v>
      </c>
      <c r="Y53" s="150">
        <v>6</v>
      </c>
      <c r="Z53" s="150">
        <v>6</v>
      </c>
      <c r="AA53" s="150">
        <v>6</v>
      </c>
      <c r="AB53" s="105">
        <v>6</v>
      </c>
      <c r="AC53" s="150">
        <v>7</v>
      </c>
      <c r="AD53" s="150">
        <v>6</v>
      </c>
      <c r="AE53" s="150">
        <v>6</v>
      </c>
      <c r="AF53" s="150">
        <v>5</v>
      </c>
      <c r="AG53" s="105">
        <v>5</v>
      </c>
      <c r="AH53" s="150">
        <v>7</v>
      </c>
      <c r="AI53" s="150">
        <v>8</v>
      </c>
      <c r="AJ53" s="150">
        <v>9</v>
      </c>
      <c r="AK53" s="150">
        <v>13</v>
      </c>
      <c r="AL53" s="105">
        <f t="shared" si="1"/>
        <v>13</v>
      </c>
      <c r="AM53" s="150">
        <v>13</v>
      </c>
      <c r="AN53" s="150">
        <v>14</v>
      </c>
      <c r="AO53" s="150">
        <v>12</v>
      </c>
      <c r="AP53" s="150">
        <v>12</v>
      </c>
      <c r="AQ53" s="105">
        <f t="shared" si="2"/>
        <v>12</v>
      </c>
      <c r="AR53" s="150">
        <v>10</v>
      </c>
      <c r="AS53" s="150">
        <v>10</v>
      </c>
      <c r="AT53" s="150">
        <v>10</v>
      </c>
      <c r="AU53" s="150">
        <v>10</v>
      </c>
      <c r="AV53" s="105">
        <f t="shared" si="3"/>
        <v>10</v>
      </c>
      <c r="AW53" s="150">
        <v>10</v>
      </c>
      <c r="AX53" s="150">
        <v>10</v>
      </c>
      <c r="AY53" s="150">
        <v>11</v>
      </c>
      <c r="AZ53" s="150">
        <v>11</v>
      </c>
      <c r="BA53" s="105">
        <f>AZ53</f>
        <v>11</v>
      </c>
      <c r="BB53" s="150">
        <v>11</v>
      </c>
      <c r="BC53" s="150">
        <v>13</v>
      </c>
      <c r="BD53" s="150">
        <v>11</v>
      </c>
      <c r="BE53" s="150">
        <v>11</v>
      </c>
      <c r="BF53" s="105">
        <f>BE53</f>
        <v>11</v>
      </c>
      <c r="BG53" s="150">
        <v>12</v>
      </c>
      <c r="BH53" s="150">
        <v>12</v>
      </c>
      <c r="BI53" s="150">
        <v>12</v>
      </c>
      <c r="BJ53" s="150">
        <v>12</v>
      </c>
      <c r="BK53" s="105">
        <f t="shared" si="5"/>
        <v>12</v>
      </c>
      <c r="BL53" s="150">
        <v>12</v>
      </c>
      <c r="BM53" s="150">
        <v>13</v>
      </c>
      <c r="BN53" s="150"/>
      <c r="BO53" s="150"/>
      <c r="BP53" s="105">
        <f t="shared" si="24"/>
        <v>13</v>
      </c>
    </row>
    <row r="54" spans="3:68" s="39" customFormat="1">
      <c r="C54" s="102" t="s">
        <v>150</v>
      </c>
      <c r="D54" s="23">
        <f>SUM(D48:D53)</f>
        <v>1725</v>
      </c>
      <c r="E54" s="23">
        <f>SUM(E48:E53)</f>
        <v>1797</v>
      </c>
      <c r="F54" s="23">
        <f>SUM(F48:F53)</f>
        <v>1813</v>
      </c>
      <c r="G54" s="23">
        <f t="shared" ref="G54:AA54" si="25">SUM(G48:G53)</f>
        <v>1853</v>
      </c>
      <c r="H54" s="24">
        <f>SUM(H48:H53)</f>
        <v>1853</v>
      </c>
      <c r="I54" s="23">
        <f t="shared" si="25"/>
        <v>2125</v>
      </c>
      <c r="J54" s="23">
        <f t="shared" si="25"/>
        <v>2067</v>
      </c>
      <c r="K54" s="23">
        <f t="shared" si="25"/>
        <v>1994</v>
      </c>
      <c r="L54" s="23">
        <f t="shared" si="25"/>
        <v>2054</v>
      </c>
      <c r="M54" s="24">
        <f>SUM(M48:M53)</f>
        <v>2054</v>
      </c>
      <c r="N54" s="23">
        <f t="shared" si="25"/>
        <v>2241</v>
      </c>
      <c r="O54" s="23">
        <f t="shared" si="25"/>
        <v>2145</v>
      </c>
      <c r="P54" s="23">
        <f>SUM(P48:P53)</f>
        <v>2226</v>
      </c>
      <c r="Q54" s="23">
        <f t="shared" si="25"/>
        <v>2217</v>
      </c>
      <c r="R54" s="24">
        <f>SUM(R48:R53)</f>
        <v>2217</v>
      </c>
      <c r="S54" s="23">
        <f t="shared" si="25"/>
        <v>2569</v>
      </c>
      <c r="T54" s="23">
        <f t="shared" si="25"/>
        <v>2467</v>
      </c>
      <c r="U54" s="23">
        <f t="shared" si="25"/>
        <v>2345</v>
      </c>
      <c r="V54" s="23">
        <f t="shared" si="25"/>
        <v>2295</v>
      </c>
      <c r="W54" s="24">
        <f>SUM(W48:W53)</f>
        <v>2295</v>
      </c>
      <c r="X54" s="23">
        <f t="shared" si="25"/>
        <v>2544</v>
      </c>
      <c r="Y54" s="23">
        <f t="shared" si="25"/>
        <v>2300</v>
      </c>
      <c r="Z54" s="23">
        <f t="shared" si="25"/>
        <v>2552</v>
      </c>
      <c r="AA54" s="23">
        <f t="shared" si="25"/>
        <v>2852</v>
      </c>
      <c r="AB54" s="24">
        <v>2852</v>
      </c>
      <c r="AC54" s="23">
        <f>SUM(AC48:AC53)</f>
        <v>4180</v>
      </c>
      <c r="AD54" s="23">
        <f>SUM(AD48:AD53)</f>
        <v>3432</v>
      </c>
      <c r="AE54" s="23">
        <f>SUM(AE48:AE53)</f>
        <v>3533</v>
      </c>
      <c r="AF54" s="23">
        <f>SUM(AF48:AF53)</f>
        <v>3559</v>
      </c>
      <c r="AG54" s="24">
        <v>3559</v>
      </c>
      <c r="AH54" s="23">
        <f>SUM(AH48:AH53)</f>
        <v>4229</v>
      </c>
      <c r="AI54" s="23">
        <f>SUM(AI48:AI53)</f>
        <v>3680</v>
      </c>
      <c r="AJ54" s="23">
        <f>SUM(AJ48:AJ53)</f>
        <v>4008</v>
      </c>
      <c r="AK54" s="23">
        <f>SUM(AK48:AK53)</f>
        <v>4323</v>
      </c>
      <c r="AL54" s="24">
        <f t="shared" si="1"/>
        <v>4323</v>
      </c>
      <c r="AM54" s="23">
        <f>SUM(AM48:AM53)</f>
        <v>5001</v>
      </c>
      <c r="AN54" s="23">
        <f>SUM(AN48:AN53)</f>
        <v>4818</v>
      </c>
      <c r="AO54" s="23">
        <f>SUM(AO48:AO53)</f>
        <v>5286</v>
      </c>
      <c r="AP54" s="23">
        <f>SUM(AP48:AP53)</f>
        <v>5561</v>
      </c>
      <c r="AQ54" s="24">
        <f t="shared" si="2"/>
        <v>5561</v>
      </c>
      <c r="AR54" s="23">
        <f>SUM(AR48:AR53)</f>
        <v>5806</v>
      </c>
      <c r="AS54" s="23">
        <f>SUM(AS48:AS53)</f>
        <v>5763</v>
      </c>
      <c r="AT54" s="23">
        <f>SUM(AT48:AT53)</f>
        <v>6200</v>
      </c>
      <c r="AU54" s="23">
        <f>SUM(AU48:AU53)</f>
        <v>6088</v>
      </c>
      <c r="AV54" s="24">
        <f t="shared" si="3"/>
        <v>6088</v>
      </c>
      <c r="AW54" s="23">
        <f>SUM(AW48:AW53)</f>
        <v>6886</v>
      </c>
      <c r="AX54" s="23">
        <f>SUM(AX48:AX53)</f>
        <v>5918</v>
      </c>
      <c r="AY54" s="23">
        <f>SUM(AY48:AY53)</f>
        <v>5938</v>
      </c>
      <c r="AZ54" s="23">
        <f>SUM(AZ48:AZ53)</f>
        <v>5918</v>
      </c>
      <c r="BA54" s="24">
        <f>AZ54</f>
        <v>5918</v>
      </c>
      <c r="BB54" s="23">
        <f>SUM(BB48:BB53)</f>
        <v>7267</v>
      </c>
      <c r="BC54" s="23">
        <f>SUM(BC48:BC53)</f>
        <v>6090</v>
      </c>
      <c r="BD54" s="23">
        <f>SUM(BD48:BD53)</f>
        <v>5935</v>
      </c>
      <c r="BE54" s="23">
        <f>SUM(BE48:BE53)</f>
        <v>6164</v>
      </c>
      <c r="BF54" s="24">
        <f>BE54</f>
        <v>6164</v>
      </c>
      <c r="BG54" s="23">
        <f>SUM(BG48:BG53)</f>
        <v>6327</v>
      </c>
      <c r="BH54" s="23">
        <f>SUM(BH48:BH53)</f>
        <v>6377</v>
      </c>
      <c r="BI54" s="23">
        <f>SUM(BI48:BI53)</f>
        <v>6666</v>
      </c>
      <c r="BJ54" s="23">
        <f>SUM(BJ48:BJ53)</f>
        <v>6606</v>
      </c>
      <c r="BK54" s="24">
        <f t="shared" si="5"/>
        <v>6606</v>
      </c>
      <c r="BL54" s="23">
        <f>SUM(BL48:BL53)</f>
        <v>6685</v>
      </c>
      <c r="BM54" s="23">
        <f>SUM(BM48:BM53)</f>
        <v>6671</v>
      </c>
      <c r="BN54" s="23"/>
      <c r="BO54" s="23"/>
      <c r="BP54" s="24">
        <f t="shared" si="24"/>
        <v>6671</v>
      </c>
    </row>
    <row r="55" spans="3:68">
      <c r="C55" s="102" t="s">
        <v>151</v>
      </c>
      <c r="D55" s="89"/>
      <c r="E55" s="89"/>
      <c r="F55" s="89"/>
      <c r="G55" s="90"/>
      <c r="H55" s="28"/>
      <c r="I55" s="89"/>
      <c r="J55" s="89"/>
      <c r="K55" s="89"/>
      <c r="L55" s="90"/>
      <c r="M55" s="28"/>
      <c r="N55" s="89"/>
      <c r="O55" s="89"/>
      <c r="P55" s="89"/>
      <c r="Q55" s="90"/>
      <c r="R55" s="28"/>
      <c r="S55" s="89"/>
      <c r="T55" s="89"/>
      <c r="U55" s="89"/>
      <c r="V55" s="89"/>
      <c r="W55" s="28"/>
      <c r="X55" s="89"/>
      <c r="Y55" s="89"/>
      <c r="Z55" s="89"/>
      <c r="AA55" s="89"/>
      <c r="AB55" s="28"/>
      <c r="AC55" s="89"/>
      <c r="AD55" s="89"/>
      <c r="AE55" s="89"/>
      <c r="AF55" s="89"/>
      <c r="AG55" s="28"/>
      <c r="AH55" s="89"/>
      <c r="AI55" s="89"/>
      <c r="AJ55" s="89"/>
      <c r="AK55" s="89"/>
      <c r="AL55" s="28"/>
      <c r="AM55" s="89"/>
      <c r="AN55" s="89"/>
      <c r="AO55" s="89"/>
      <c r="AP55" s="89"/>
      <c r="AQ55" s="28"/>
      <c r="AR55" s="89"/>
      <c r="AS55" s="89"/>
      <c r="AT55" s="89"/>
      <c r="AU55" s="89"/>
      <c r="AV55" s="28"/>
      <c r="AW55" s="89"/>
      <c r="AX55" s="89"/>
      <c r="AY55" s="89"/>
      <c r="AZ55" s="89"/>
      <c r="BA55" s="28"/>
      <c r="BB55" s="89"/>
      <c r="BC55" s="89"/>
      <c r="BD55" s="89"/>
      <c r="BE55" s="89"/>
      <c r="BF55" s="28"/>
      <c r="BG55" s="89"/>
      <c r="BH55" s="89"/>
      <c r="BI55" s="89"/>
      <c r="BJ55" s="89"/>
      <c r="BK55" s="28">
        <f t="shared" si="5"/>
        <v>0</v>
      </c>
      <c r="BL55" s="89"/>
      <c r="BM55" s="89"/>
      <c r="BN55" s="89"/>
      <c r="BO55" s="89"/>
      <c r="BP55" s="28"/>
    </row>
    <row r="56" spans="3:68">
      <c r="C56" s="103" t="s">
        <v>152</v>
      </c>
      <c r="D56" s="89">
        <v>64</v>
      </c>
      <c r="E56" s="89">
        <v>64</v>
      </c>
      <c r="F56" s="89">
        <v>109</v>
      </c>
      <c r="G56" s="89">
        <v>109</v>
      </c>
      <c r="H56" s="28">
        <v>109</v>
      </c>
      <c r="I56" s="89">
        <v>199</v>
      </c>
      <c r="J56" s="89">
        <v>199</v>
      </c>
      <c r="K56" s="89">
        <v>199</v>
      </c>
      <c r="L56" s="89">
        <v>199</v>
      </c>
      <c r="M56" s="28">
        <v>199</v>
      </c>
      <c r="N56" s="89">
        <v>199</v>
      </c>
      <c r="O56" s="89">
        <v>199</v>
      </c>
      <c r="P56" s="89">
        <v>199</v>
      </c>
      <c r="Q56" s="89">
        <v>199</v>
      </c>
      <c r="R56" s="28">
        <v>199</v>
      </c>
      <c r="S56" s="89">
        <v>199</v>
      </c>
      <c r="T56" s="89">
        <v>199</v>
      </c>
      <c r="U56" s="89">
        <v>190</v>
      </c>
      <c r="V56" s="89">
        <v>190</v>
      </c>
      <c r="W56" s="28">
        <v>190</v>
      </c>
      <c r="X56" s="89">
        <v>190</v>
      </c>
      <c r="Y56" s="89">
        <v>340</v>
      </c>
      <c r="Z56" s="89">
        <v>340</v>
      </c>
      <c r="AA56" s="89">
        <v>339</v>
      </c>
      <c r="AB56" s="28">
        <v>339</v>
      </c>
      <c r="AC56" s="89">
        <v>334</v>
      </c>
      <c r="AD56" s="89">
        <v>332</v>
      </c>
      <c r="AE56" s="89">
        <v>332</v>
      </c>
      <c r="AF56" s="89">
        <v>332</v>
      </c>
      <c r="AG56" s="28">
        <v>332</v>
      </c>
      <c r="AH56" s="89">
        <v>332</v>
      </c>
      <c r="AI56" s="89">
        <v>332</v>
      </c>
      <c r="AJ56" s="89">
        <v>332</v>
      </c>
      <c r="AK56" s="89">
        <v>332</v>
      </c>
      <c r="AL56" s="28">
        <f t="shared" si="1"/>
        <v>332</v>
      </c>
      <c r="AM56" s="89">
        <v>332</v>
      </c>
      <c r="AN56" s="89">
        <v>328</v>
      </c>
      <c r="AO56" s="89">
        <v>328</v>
      </c>
      <c r="AP56" s="89">
        <v>328</v>
      </c>
      <c r="AQ56" s="28">
        <f t="shared" si="2"/>
        <v>328</v>
      </c>
      <c r="AR56" s="89">
        <v>328</v>
      </c>
      <c r="AS56" s="89">
        <v>328</v>
      </c>
      <c r="AT56" s="89">
        <v>327</v>
      </c>
      <c r="AU56" s="89">
        <v>325</v>
      </c>
      <c r="AV56" s="28">
        <f t="shared" si="3"/>
        <v>325</v>
      </c>
      <c r="AW56" s="89">
        <v>325</v>
      </c>
      <c r="AX56" s="89">
        <v>325</v>
      </c>
      <c r="AY56" s="89">
        <v>325</v>
      </c>
      <c r="AZ56" s="89">
        <v>325</v>
      </c>
      <c r="BA56" s="28">
        <f t="shared" ref="BA56:BA66" si="26">AZ56</f>
        <v>325</v>
      </c>
      <c r="BB56" s="89">
        <v>325</v>
      </c>
      <c r="BC56" s="89">
        <v>325</v>
      </c>
      <c r="BD56" s="89">
        <v>325</v>
      </c>
      <c r="BE56" s="89">
        <v>325</v>
      </c>
      <c r="BF56" s="28">
        <f t="shared" ref="BF56:BF66" si="27">BE56</f>
        <v>325</v>
      </c>
      <c r="BG56" s="89">
        <v>325</v>
      </c>
      <c r="BH56" s="89">
        <v>325</v>
      </c>
      <c r="BI56" s="89">
        <v>319</v>
      </c>
      <c r="BJ56" s="89">
        <v>319</v>
      </c>
      <c r="BK56" s="28">
        <f t="shared" si="5"/>
        <v>319</v>
      </c>
      <c r="BL56" s="89">
        <v>319</v>
      </c>
      <c r="BM56" s="89">
        <v>319</v>
      </c>
      <c r="BN56" s="89"/>
      <c r="BO56" s="89"/>
      <c r="BP56" s="28">
        <f>BM56</f>
        <v>319</v>
      </c>
    </row>
    <row r="57" spans="3:68">
      <c r="C57" s="103" t="s">
        <v>153</v>
      </c>
      <c r="D57" s="89">
        <v>704</v>
      </c>
      <c r="E57" s="89">
        <v>704</v>
      </c>
      <c r="F57" s="89">
        <v>659</v>
      </c>
      <c r="G57" s="89">
        <v>659</v>
      </c>
      <c r="H57" s="28">
        <v>659</v>
      </c>
      <c r="I57" s="89">
        <v>569</v>
      </c>
      <c r="J57" s="89">
        <v>569</v>
      </c>
      <c r="K57" s="89">
        <v>570</v>
      </c>
      <c r="L57" s="89">
        <v>570</v>
      </c>
      <c r="M57" s="28">
        <v>570</v>
      </c>
      <c r="N57" s="89">
        <v>571</v>
      </c>
      <c r="O57" s="89">
        <v>574</v>
      </c>
      <c r="P57" s="89">
        <v>580</v>
      </c>
      <c r="Q57" s="89">
        <v>587</v>
      </c>
      <c r="R57" s="28">
        <v>587</v>
      </c>
      <c r="S57" s="89">
        <v>594</v>
      </c>
      <c r="T57" s="89">
        <v>592</v>
      </c>
      <c r="U57" s="89">
        <v>243</v>
      </c>
      <c r="V57" s="89">
        <v>247</v>
      </c>
      <c r="W57" s="28">
        <v>247</v>
      </c>
      <c r="X57" s="89">
        <v>253</v>
      </c>
      <c r="Y57" s="89">
        <v>261</v>
      </c>
      <c r="Z57" s="89">
        <v>268</v>
      </c>
      <c r="AA57" s="89">
        <v>277</v>
      </c>
      <c r="AB57" s="28">
        <v>277</v>
      </c>
      <c r="AC57" s="89">
        <v>286</v>
      </c>
      <c r="AD57" s="89">
        <v>295</v>
      </c>
      <c r="AE57" s="89">
        <v>300</v>
      </c>
      <c r="AF57" s="89">
        <v>305</v>
      </c>
      <c r="AG57" s="28">
        <v>305</v>
      </c>
      <c r="AH57" s="89">
        <v>314</v>
      </c>
      <c r="AI57" s="89">
        <v>325</v>
      </c>
      <c r="AJ57" s="89">
        <v>337</v>
      </c>
      <c r="AK57" s="89">
        <v>359</v>
      </c>
      <c r="AL57" s="28">
        <f t="shared" si="1"/>
        <v>359</v>
      </c>
      <c r="AM57" s="89">
        <v>374</v>
      </c>
      <c r="AN57" s="89">
        <v>301</v>
      </c>
      <c r="AO57" s="89">
        <v>316</v>
      </c>
      <c r="AP57" s="89">
        <v>337</v>
      </c>
      <c r="AQ57" s="28">
        <f t="shared" si="2"/>
        <v>337</v>
      </c>
      <c r="AR57" s="89">
        <v>356</v>
      </c>
      <c r="AS57" s="89">
        <v>375</v>
      </c>
      <c r="AT57" s="89">
        <v>350</v>
      </c>
      <c r="AU57" s="89">
        <v>366</v>
      </c>
      <c r="AV57" s="28">
        <f t="shared" si="3"/>
        <v>366</v>
      </c>
      <c r="AW57" s="89">
        <v>383</v>
      </c>
      <c r="AX57" s="89">
        <v>398</v>
      </c>
      <c r="AY57" s="89">
        <v>413</v>
      </c>
      <c r="AZ57" s="89">
        <v>425</v>
      </c>
      <c r="BA57" s="28">
        <f t="shared" si="26"/>
        <v>425</v>
      </c>
      <c r="BB57" s="89">
        <v>448</v>
      </c>
      <c r="BC57" s="89">
        <v>473</v>
      </c>
      <c r="BD57" s="89">
        <v>495</v>
      </c>
      <c r="BE57" s="89">
        <v>500</v>
      </c>
      <c r="BF57" s="28">
        <f t="shared" si="27"/>
        <v>500</v>
      </c>
      <c r="BG57" s="89">
        <v>521</v>
      </c>
      <c r="BH57" s="89">
        <v>547</v>
      </c>
      <c r="BI57" s="89">
        <v>431</v>
      </c>
      <c r="BJ57" s="89">
        <v>462</v>
      </c>
      <c r="BK57" s="28">
        <f t="shared" si="5"/>
        <v>462</v>
      </c>
      <c r="BL57" s="89">
        <v>468</v>
      </c>
      <c r="BM57" s="89">
        <v>490</v>
      </c>
      <c r="BN57" s="89"/>
      <c r="BO57" s="89"/>
      <c r="BP57" s="28">
        <f t="shared" ref="BP57:BP63" si="28">BM57</f>
        <v>490</v>
      </c>
    </row>
    <row r="58" spans="3:68">
      <c r="C58" s="103" t="s">
        <v>154</v>
      </c>
      <c r="D58" s="89">
        <v>8895</v>
      </c>
      <c r="E58" s="89">
        <v>9406</v>
      </c>
      <c r="F58" s="89">
        <v>9592</v>
      </c>
      <c r="G58" s="90">
        <v>10090</v>
      </c>
      <c r="H58" s="28">
        <v>10090</v>
      </c>
      <c r="I58" s="89">
        <v>9930</v>
      </c>
      <c r="J58" s="89">
        <v>10449</v>
      </c>
      <c r="K58" s="89">
        <v>10550</v>
      </c>
      <c r="L58" s="90">
        <v>11083</v>
      </c>
      <c r="M58" s="28">
        <v>11083</v>
      </c>
      <c r="N58" s="89">
        <v>11014</v>
      </c>
      <c r="O58" s="89">
        <v>11553</v>
      </c>
      <c r="P58" s="89">
        <v>11647</v>
      </c>
      <c r="Q58" s="90">
        <v>12190</v>
      </c>
      <c r="R58" s="28">
        <v>12190</v>
      </c>
      <c r="S58" s="89">
        <v>12050</v>
      </c>
      <c r="T58" s="89">
        <v>12571</v>
      </c>
      <c r="U58" s="89">
        <v>11099</v>
      </c>
      <c r="V58" s="89">
        <v>11587</v>
      </c>
      <c r="W58" s="28">
        <v>11587</v>
      </c>
      <c r="X58" s="89">
        <v>10907</v>
      </c>
      <c r="Y58" s="89">
        <v>11285</v>
      </c>
      <c r="Z58" s="89">
        <v>11252</v>
      </c>
      <c r="AA58" s="89">
        <v>11248</v>
      </c>
      <c r="AB58" s="28">
        <v>11248</v>
      </c>
      <c r="AC58" s="89">
        <v>9969</v>
      </c>
      <c r="AD58" s="89">
        <v>10510</v>
      </c>
      <c r="AE58" s="89">
        <v>10458</v>
      </c>
      <c r="AF58" s="89">
        <v>11014</v>
      </c>
      <c r="AG58" s="28">
        <v>11014</v>
      </c>
      <c r="AH58" s="89">
        <v>11095</v>
      </c>
      <c r="AI58" s="89">
        <v>11573</v>
      </c>
      <c r="AJ58" s="89">
        <v>11469</v>
      </c>
      <c r="AK58" s="89">
        <v>12087</v>
      </c>
      <c r="AL58" s="28">
        <f t="shared" si="1"/>
        <v>12087</v>
      </c>
      <c r="AM58" s="89">
        <v>11357</v>
      </c>
      <c r="AN58" s="89">
        <v>11100</v>
      </c>
      <c r="AO58" s="89">
        <v>10965</v>
      </c>
      <c r="AP58" s="89">
        <v>11672</v>
      </c>
      <c r="AQ58" s="28">
        <f t="shared" si="2"/>
        <v>11672</v>
      </c>
      <c r="AR58" s="89">
        <v>11540</v>
      </c>
      <c r="AS58" s="89">
        <v>12323</v>
      </c>
      <c r="AT58" s="89">
        <v>11301</v>
      </c>
      <c r="AU58" s="89">
        <v>11401</v>
      </c>
      <c r="AV58" s="28">
        <f t="shared" si="3"/>
        <v>11401</v>
      </c>
      <c r="AW58" s="89">
        <v>11175</v>
      </c>
      <c r="AX58" s="89">
        <v>11850</v>
      </c>
      <c r="AY58" s="89">
        <v>11613</v>
      </c>
      <c r="AZ58" s="89">
        <v>12557</v>
      </c>
      <c r="BA58" s="28">
        <f t="shared" si="26"/>
        <v>12557</v>
      </c>
      <c r="BB58" s="89">
        <v>11975</v>
      </c>
      <c r="BC58" s="89">
        <v>13095</v>
      </c>
      <c r="BD58" s="89">
        <v>12873</v>
      </c>
      <c r="BE58" s="89">
        <v>13766</v>
      </c>
      <c r="BF58" s="28">
        <f t="shared" si="27"/>
        <v>13766</v>
      </c>
      <c r="BG58" s="89">
        <v>13763</v>
      </c>
      <c r="BH58" s="89">
        <v>14664</v>
      </c>
      <c r="BI58" s="89">
        <v>12481</v>
      </c>
      <c r="BJ58" s="89">
        <v>13459</v>
      </c>
      <c r="BK58" s="28">
        <f t="shared" si="5"/>
        <v>13459</v>
      </c>
      <c r="BL58" s="89">
        <v>13440</v>
      </c>
      <c r="BM58" s="89">
        <v>14317</v>
      </c>
      <c r="BN58" s="89"/>
      <c r="BO58" s="89"/>
      <c r="BP58" s="28">
        <f t="shared" si="28"/>
        <v>14317</v>
      </c>
    </row>
    <row r="59" spans="3:68">
      <c r="C59" s="122" t="s">
        <v>158</v>
      </c>
      <c r="D59" s="89">
        <v>-1763</v>
      </c>
      <c r="E59" s="89">
        <v>-1982</v>
      </c>
      <c r="F59" s="89">
        <v>-2145</v>
      </c>
      <c r="G59" s="90">
        <v>-2096</v>
      </c>
      <c r="H59" s="28">
        <v>-2096</v>
      </c>
      <c r="I59" s="89">
        <v>-2236</v>
      </c>
      <c r="J59" s="89">
        <v>-2474</v>
      </c>
      <c r="K59" s="89">
        <v>-2542</v>
      </c>
      <c r="L59" s="90">
        <v>-2528</v>
      </c>
      <c r="M59" s="28">
        <v>-2528</v>
      </c>
      <c r="N59" s="89">
        <v>-2708</v>
      </c>
      <c r="O59" s="89">
        <v>-2596</v>
      </c>
      <c r="P59" s="89">
        <v>-2786</v>
      </c>
      <c r="Q59" s="90">
        <v>-2345</v>
      </c>
      <c r="R59" s="28">
        <v>-2345</v>
      </c>
      <c r="S59" s="89">
        <v>-2281</v>
      </c>
      <c r="T59" s="89">
        <v>-2385</v>
      </c>
      <c r="U59" s="89">
        <v>-2158</v>
      </c>
      <c r="V59" s="89">
        <v>-2317</v>
      </c>
      <c r="W59" s="28">
        <v>-2317</v>
      </c>
      <c r="X59" s="89">
        <v>-2792</v>
      </c>
      <c r="Y59" s="89">
        <v>-3252</v>
      </c>
      <c r="Z59" s="89">
        <v>-2947</v>
      </c>
      <c r="AA59" s="89">
        <v>-2870</v>
      </c>
      <c r="AB59" s="28">
        <v>-2870</v>
      </c>
      <c r="AC59" s="89">
        <v>-2854</v>
      </c>
      <c r="AD59" s="89">
        <v>-3079</v>
      </c>
      <c r="AE59" s="89">
        <v>-3141</v>
      </c>
      <c r="AF59" s="89">
        <v>-3614</v>
      </c>
      <c r="AG59" s="28">
        <v>-3614</v>
      </c>
      <c r="AH59" s="89">
        <v>-3547</v>
      </c>
      <c r="AI59" s="89">
        <v>-3340</v>
      </c>
      <c r="AJ59" s="89">
        <v>-3182</v>
      </c>
      <c r="AK59" s="89">
        <v>-3263</v>
      </c>
      <c r="AL59" s="28">
        <f>AK59</f>
        <v>-3263</v>
      </c>
      <c r="AM59" s="89">
        <v>-3394</v>
      </c>
      <c r="AN59" s="89">
        <v>-3387</v>
      </c>
      <c r="AO59" s="89">
        <v>-3422</v>
      </c>
      <c r="AP59" s="89">
        <v>-3588</v>
      </c>
      <c r="AQ59" s="28">
        <f t="shared" si="2"/>
        <v>-3588</v>
      </c>
      <c r="AR59" s="89">
        <v>-4045</v>
      </c>
      <c r="AS59" s="89">
        <v>-4320</v>
      </c>
      <c r="AT59" s="89">
        <f>-4395</f>
        <v>-4395</v>
      </c>
      <c r="AU59" s="89">
        <v>-4314</v>
      </c>
      <c r="AV59" s="28">
        <f t="shared" si="3"/>
        <v>-4314</v>
      </c>
      <c r="AW59" s="89">
        <v>-4278</v>
      </c>
      <c r="AX59" s="89">
        <v>-4396</v>
      </c>
      <c r="AY59" s="89">
        <v>-4349</v>
      </c>
      <c r="AZ59" s="89">
        <v>-4396</v>
      </c>
      <c r="BA59" s="28">
        <f t="shared" si="26"/>
        <v>-4396</v>
      </c>
      <c r="BB59" s="89">
        <v>-4398</v>
      </c>
      <c r="BC59" s="89">
        <v>-4363</v>
      </c>
      <c r="BD59" s="89">
        <v>-4645</v>
      </c>
      <c r="BE59" s="89">
        <v>-4579</v>
      </c>
      <c r="BF59" s="28">
        <f t="shared" si="27"/>
        <v>-4579</v>
      </c>
      <c r="BG59" s="89">
        <v>-4490</v>
      </c>
      <c r="BH59" s="89">
        <v>-4790</v>
      </c>
      <c r="BI59" s="89">
        <v>-4858</v>
      </c>
      <c r="BJ59" s="89">
        <v>-5255</v>
      </c>
      <c r="BK59" s="28">
        <f t="shared" si="5"/>
        <v>-5255</v>
      </c>
      <c r="BL59" s="89">
        <v>-5201</v>
      </c>
      <c r="BM59" s="89">
        <v>-5328</v>
      </c>
      <c r="BN59" s="89"/>
      <c r="BO59" s="89"/>
      <c r="BP59" s="28">
        <f t="shared" si="28"/>
        <v>-5328</v>
      </c>
    </row>
    <row r="60" spans="3:68">
      <c r="C60" s="27" t="s">
        <v>155</v>
      </c>
      <c r="D60" s="89"/>
      <c r="E60" s="89"/>
      <c r="F60" s="89"/>
      <c r="G60" s="90"/>
      <c r="H60" s="28"/>
      <c r="I60" s="89"/>
      <c r="J60" s="89"/>
      <c r="K60" s="89"/>
      <c r="L60" s="90"/>
      <c r="M60" s="28"/>
      <c r="N60" s="89"/>
      <c r="O60" s="89"/>
      <c r="P60" s="89">
        <v>4</v>
      </c>
      <c r="Q60" s="90">
        <v>6</v>
      </c>
      <c r="R60" s="28">
        <v>6</v>
      </c>
      <c r="S60" s="89">
        <v>-4</v>
      </c>
      <c r="T60" s="89">
        <v>-1</v>
      </c>
      <c r="U60" s="89">
        <v>0</v>
      </c>
      <c r="V60" s="89">
        <v>0</v>
      </c>
      <c r="W60" s="28">
        <v>0</v>
      </c>
      <c r="X60" s="89">
        <v>1</v>
      </c>
      <c r="Y60" s="89">
        <v>-3</v>
      </c>
      <c r="Z60" s="89">
        <v>5</v>
      </c>
      <c r="AA60" s="89">
        <v>3</v>
      </c>
      <c r="AB60" s="28">
        <v>3</v>
      </c>
      <c r="AC60" s="89">
        <v>0</v>
      </c>
      <c r="AD60" s="89">
        <v>2</v>
      </c>
      <c r="AE60" s="89">
        <v>-2</v>
      </c>
      <c r="AF60" s="89">
        <v>-2</v>
      </c>
      <c r="AG60" s="28">
        <v>-2</v>
      </c>
      <c r="AH60" s="89">
        <v>-3</v>
      </c>
      <c r="AI60" s="89">
        <v>1</v>
      </c>
      <c r="AJ60" s="89">
        <v>-2</v>
      </c>
      <c r="AK60" s="89">
        <v>2</v>
      </c>
      <c r="AL60" s="28">
        <f t="shared" si="1"/>
        <v>2</v>
      </c>
      <c r="AM60" s="89">
        <v>2</v>
      </c>
      <c r="AN60" s="89">
        <v>3</v>
      </c>
      <c r="AO60" s="89">
        <v>2</v>
      </c>
      <c r="AP60" s="89">
        <v>1</v>
      </c>
      <c r="AQ60" s="28">
        <f t="shared" si="2"/>
        <v>1</v>
      </c>
      <c r="AR60" s="89">
        <v>4</v>
      </c>
      <c r="AS60" s="89">
        <v>3</v>
      </c>
      <c r="AT60" s="89">
        <v>-4</v>
      </c>
      <c r="AU60" s="89">
        <v>0</v>
      </c>
      <c r="AV60" s="28">
        <f t="shared" si="3"/>
        <v>0</v>
      </c>
      <c r="AW60" s="89">
        <v>1</v>
      </c>
      <c r="AX60" s="89">
        <v>4</v>
      </c>
      <c r="AY60" s="89">
        <v>-2</v>
      </c>
      <c r="AZ60" s="89">
        <v>1</v>
      </c>
      <c r="BA60" s="28">
        <f t="shared" si="26"/>
        <v>1</v>
      </c>
      <c r="BB60" s="89">
        <v>1</v>
      </c>
      <c r="BC60" s="89">
        <v>-2</v>
      </c>
      <c r="BD60" s="89">
        <v>5</v>
      </c>
      <c r="BE60" s="89">
        <v>-2</v>
      </c>
      <c r="BF60" s="28">
        <f t="shared" si="27"/>
        <v>-2</v>
      </c>
      <c r="BG60" s="89">
        <v>-1</v>
      </c>
      <c r="BH60" s="89">
        <v>-1</v>
      </c>
      <c r="BI60" s="89">
        <v>-1</v>
      </c>
      <c r="BJ60" s="89">
        <v>-2</v>
      </c>
      <c r="BK60" s="28">
        <f t="shared" si="5"/>
        <v>-2</v>
      </c>
      <c r="BL60" s="89">
        <v>3</v>
      </c>
      <c r="BM60" s="89">
        <v>2</v>
      </c>
      <c r="BN60" s="89"/>
      <c r="BO60" s="89"/>
      <c r="BP60" s="28">
        <f t="shared" si="28"/>
        <v>2</v>
      </c>
    </row>
    <row r="61" spans="3:68">
      <c r="C61" s="27" t="s">
        <v>244</v>
      </c>
      <c r="D61" s="89"/>
      <c r="E61" s="89"/>
      <c r="F61" s="89"/>
      <c r="G61" s="89"/>
      <c r="H61" s="28"/>
      <c r="I61" s="89"/>
      <c r="J61" s="89"/>
      <c r="K61" s="89"/>
      <c r="L61" s="89"/>
      <c r="M61" s="28"/>
      <c r="N61" s="89"/>
      <c r="O61" s="89"/>
      <c r="P61" s="89"/>
      <c r="Q61" s="89"/>
      <c r="R61" s="28"/>
      <c r="S61" s="89">
        <v>51</v>
      </c>
      <c r="T61" s="89">
        <v>108</v>
      </c>
      <c r="U61" s="89">
        <v>161</v>
      </c>
      <c r="V61" s="89">
        <v>244</v>
      </c>
      <c r="W61" s="28">
        <v>244</v>
      </c>
      <c r="X61" s="89">
        <v>294</v>
      </c>
      <c r="Y61" s="89">
        <v>348</v>
      </c>
      <c r="Z61" s="89">
        <v>385</v>
      </c>
      <c r="AA61" s="89">
        <v>384</v>
      </c>
      <c r="AB61" s="28">
        <v>384</v>
      </c>
      <c r="AC61" s="89">
        <v>432</v>
      </c>
      <c r="AD61" s="89">
        <v>460</v>
      </c>
      <c r="AE61" s="89">
        <v>560</v>
      </c>
      <c r="AF61" s="89">
        <v>594</v>
      </c>
      <c r="AG61" s="28">
        <v>594</v>
      </c>
      <c r="AH61" s="89">
        <v>539</v>
      </c>
      <c r="AI61" s="89">
        <v>715</v>
      </c>
      <c r="AJ61" s="89">
        <v>829</v>
      </c>
      <c r="AK61" s="89">
        <v>908</v>
      </c>
      <c r="AL61" s="28">
        <f t="shared" si="1"/>
        <v>908</v>
      </c>
      <c r="AM61" s="89">
        <v>980</v>
      </c>
      <c r="AN61" s="89">
        <v>1054</v>
      </c>
      <c r="AO61" s="89">
        <v>1125</v>
      </c>
      <c r="AP61" s="89">
        <v>1170</v>
      </c>
      <c r="AQ61" s="28">
        <f t="shared" si="2"/>
        <v>1170</v>
      </c>
      <c r="AR61" s="89">
        <v>1133</v>
      </c>
      <c r="AS61" s="89">
        <v>1098</v>
      </c>
      <c r="AT61" s="89">
        <v>1374</v>
      </c>
      <c r="AU61" s="89">
        <v>1370</v>
      </c>
      <c r="AV61" s="28">
        <f t="shared" si="3"/>
        <v>1370</v>
      </c>
      <c r="AW61" s="89">
        <v>1439</v>
      </c>
      <c r="AX61" s="89">
        <v>1515</v>
      </c>
      <c r="AY61" s="89">
        <v>1593</v>
      </c>
      <c r="AZ61" s="89">
        <v>1623</v>
      </c>
      <c r="BA61" s="28">
        <f t="shared" si="26"/>
        <v>1623</v>
      </c>
      <c r="BB61" s="89">
        <v>1581</v>
      </c>
      <c r="BC61" s="89">
        <v>1237</v>
      </c>
      <c r="BD61" s="89">
        <v>1230</v>
      </c>
      <c r="BE61" s="89">
        <v>1171</v>
      </c>
      <c r="BF61" s="28">
        <f t="shared" si="27"/>
        <v>1171</v>
      </c>
      <c r="BG61" s="89">
        <v>927</v>
      </c>
      <c r="BH61" s="89">
        <v>865</v>
      </c>
      <c r="BI61" s="89">
        <v>831</v>
      </c>
      <c r="BJ61" s="89">
        <v>773</v>
      </c>
      <c r="BK61" s="28">
        <f t="shared" si="5"/>
        <v>773</v>
      </c>
      <c r="BL61" s="89">
        <v>560</v>
      </c>
      <c r="BM61" s="89">
        <v>503</v>
      </c>
      <c r="BN61" s="89"/>
      <c r="BO61" s="89"/>
      <c r="BP61" s="28">
        <f t="shared" si="28"/>
        <v>503</v>
      </c>
    </row>
    <row r="62" spans="3:68" ht="13.5">
      <c r="C62" s="27" t="s">
        <v>157</v>
      </c>
      <c r="D62" s="150"/>
      <c r="E62" s="150"/>
      <c r="F62" s="150"/>
      <c r="G62" s="150"/>
      <c r="H62" s="105">
        <v>0</v>
      </c>
      <c r="I62" s="150"/>
      <c r="J62" s="150"/>
      <c r="K62" s="150"/>
      <c r="L62" s="150"/>
      <c r="M62" s="105">
        <v>0</v>
      </c>
      <c r="N62" s="150"/>
      <c r="O62" s="150"/>
      <c r="P62" s="150"/>
      <c r="Q62" s="150"/>
      <c r="R62" s="105">
        <v>0</v>
      </c>
      <c r="S62" s="150">
        <v>0</v>
      </c>
      <c r="T62" s="150">
        <v>0</v>
      </c>
      <c r="U62" s="150">
        <v>9</v>
      </c>
      <c r="V62" s="150">
        <v>9</v>
      </c>
      <c r="W62" s="105">
        <v>9</v>
      </c>
      <c r="X62" s="150">
        <v>9</v>
      </c>
      <c r="Y62" s="150">
        <v>9</v>
      </c>
      <c r="Z62" s="150">
        <v>9</v>
      </c>
      <c r="AA62" s="150">
        <v>10</v>
      </c>
      <c r="AB62" s="105">
        <v>10</v>
      </c>
      <c r="AC62" s="150">
        <v>15</v>
      </c>
      <c r="AD62" s="150">
        <v>17</v>
      </c>
      <c r="AE62" s="150">
        <v>17</v>
      </c>
      <c r="AF62" s="150">
        <v>17</v>
      </c>
      <c r="AG62" s="105">
        <v>17</v>
      </c>
      <c r="AH62" s="150">
        <v>17</v>
      </c>
      <c r="AI62" s="150">
        <v>17</v>
      </c>
      <c r="AJ62" s="150">
        <v>17</v>
      </c>
      <c r="AK62" s="150">
        <v>17</v>
      </c>
      <c r="AL62" s="105">
        <f t="shared" si="1"/>
        <v>17</v>
      </c>
      <c r="AM62" s="150">
        <v>17</v>
      </c>
      <c r="AN62" s="150">
        <v>21</v>
      </c>
      <c r="AO62" s="150">
        <v>21</v>
      </c>
      <c r="AP62" s="150">
        <v>21</v>
      </c>
      <c r="AQ62" s="105">
        <f t="shared" si="2"/>
        <v>21</v>
      </c>
      <c r="AR62" s="150">
        <v>21</v>
      </c>
      <c r="AS62" s="150">
        <v>21</v>
      </c>
      <c r="AT62" s="150">
        <v>22</v>
      </c>
      <c r="AU62" s="150">
        <v>24</v>
      </c>
      <c r="AV62" s="105">
        <f t="shared" si="3"/>
        <v>24</v>
      </c>
      <c r="AW62" s="150">
        <v>24</v>
      </c>
      <c r="AX62" s="150">
        <v>24</v>
      </c>
      <c r="AY62" s="150">
        <v>24</v>
      </c>
      <c r="AZ62" s="150">
        <v>24</v>
      </c>
      <c r="BA62" s="105">
        <f t="shared" si="26"/>
        <v>24</v>
      </c>
      <c r="BB62" s="150">
        <v>24</v>
      </c>
      <c r="BC62" s="150">
        <v>24</v>
      </c>
      <c r="BD62" s="150">
        <v>24</v>
      </c>
      <c r="BE62" s="150">
        <v>24</v>
      </c>
      <c r="BF62" s="105">
        <f t="shared" si="27"/>
        <v>24</v>
      </c>
      <c r="BG62" s="150">
        <v>24</v>
      </c>
      <c r="BH62" s="150">
        <v>24</v>
      </c>
      <c r="BI62" s="150">
        <v>30</v>
      </c>
      <c r="BJ62" s="150">
        <v>30</v>
      </c>
      <c r="BK62" s="105">
        <f t="shared" si="5"/>
        <v>30</v>
      </c>
      <c r="BL62" s="150">
        <v>30</v>
      </c>
      <c r="BM62" s="150">
        <v>30</v>
      </c>
      <c r="BN62" s="150"/>
      <c r="BO62" s="150"/>
      <c r="BP62" s="105">
        <f t="shared" si="28"/>
        <v>30</v>
      </c>
    </row>
    <row r="63" spans="3:68" s="76" customFormat="1">
      <c r="C63" s="102" t="s">
        <v>159</v>
      </c>
      <c r="D63" s="124">
        <f t="shared" ref="D63:Q63" si="29">SUM(D56:D60)</f>
        <v>7900</v>
      </c>
      <c r="E63" s="124">
        <f t="shared" si="29"/>
        <v>8192</v>
      </c>
      <c r="F63" s="124">
        <f t="shared" si="29"/>
        <v>8215</v>
      </c>
      <c r="G63" s="124">
        <f t="shared" si="29"/>
        <v>8762</v>
      </c>
      <c r="H63" s="24">
        <f>SUM(H56:H62)</f>
        <v>8762</v>
      </c>
      <c r="I63" s="124">
        <f t="shared" si="29"/>
        <v>8462</v>
      </c>
      <c r="J63" s="124">
        <f t="shared" si="29"/>
        <v>8743</v>
      </c>
      <c r="K63" s="124">
        <f t="shared" si="29"/>
        <v>8777</v>
      </c>
      <c r="L63" s="124">
        <f t="shared" si="29"/>
        <v>9324</v>
      </c>
      <c r="M63" s="24">
        <f>SUM(M56:M62)</f>
        <v>9324</v>
      </c>
      <c r="N63" s="124">
        <f t="shared" si="29"/>
        <v>9076</v>
      </c>
      <c r="O63" s="124">
        <f t="shared" si="29"/>
        <v>9730</v>
      </c>
      <c r="P63" s="124">
        <f t="shared" si="29"/>
        <v>9644</v>
      </c>
      <c r="Q63" s="124">
        <f t="shared" si="29"/>
        <v>10637</v>
      </c>
      <c r="R63" s="24">
        <f t="shared" ref="R63:AC63" si="30">SUM(R56:R62)</f>
        <v>10637</v>
      </c>
      <c r="S63" s="124">
        <f t="shared" si="30"/>
        <v>10609</v>
      </c>
      <c r="T63" s="124">
        <f t="shared" si="30"/>
        <v>11084</v>
      </c>
      <c r="U63" s="124">
        <f t="shared" si="30"/>
        <v>9544</v>
      </c>
      <c r="V63" s="124">
        <f t="shared" si="30"/>
        <v>9960</v>
      </c>
      <c r="W63" s="24">
        <f t="shared" si="30"/>
        <v>9960</v>
      </c>
      <c r="X63" s="93">
        <f t="shared" si="30"/>
        <v>8862</v>
      </c>
      <c r="Y63" s="93">
        <f t="shared" si="30"/>
        <v>8988</v>
      </c>
      <c r="Z63" s="93">
        <f t="shared" si="30"/>
        <v>9312</v>
      </c>
      <c r="AA63" s="93">
        <f t="shared" si="30"/>
        <v>9391</v>
      </c>
      <c r="AB63" s="24">
        <v>9391</v>
      </c>
      <c r="AC63" s="93">
        <f t="shared" si="30"/>
        <v>8182</v>
      </c>
      <c r="AD63" s="93">
        <f>SUM(AD56:AD62)</f>
        <v>8537</v>
      </c>
      <c r="AE63" s="93">
        <f>SUM(AE56:AE62)</f>
        <v>8524</v>
      </c>
      <c r="AF63" s="93">
        <f>SUM(AF56:AF62)</f>
        <v>8646</v>
      </c>
      <c r="AG63" s="24">
        <v>8646</v>
      </c>
      <c r="AH63" s="93">
        <f>SUM(AH56:AH62)</f>
        <v>8747</v>
      </c>
      <c r="AI63" s="93">
        <f>SUM(AI56:AI62)</f>
        <v>9623</v>
      </c>
      <c r="AJ63" s="93">
        <f>SUM(AJ56:AJ62)</f>
        <v>9800</v>
      </c>
      <c r="AK63" s="93">
        <f>SUM(AK56:AK62)</f>
        <v>10442</v>
      </c>
      <c r="AL63" s="24">
        <f t="shared" si="1"/>
        <v>10442</v>
      </c>
      <c r="AM63" s="93">
        <f>SUM(AM56:AM62)</f>
        <v>9668</v>
      </c>
      <c r="AN63" s="93">
        <f>SUM(AN56:AN62)</f>
        <v>9420</v>
      </c>
      <c r="AO63" s="93">
        <f>SUM(AO56:AO62)</f>
        <v>9335</v>
      </c>
      <c r="AP63" s="93">
        <f>SUM(AP56:AP62)</f>
        <v>9941</v>
      </c>
      <c r="AQ63" s="24">
        <f t="shared" si="2"/>
        <v>9941</v>
      </c>
      <c r="AR63" s="93">
        <f>SUM(AR56:AR62)</f>
        <v>9337</v>
      </c>
      <c r="AS63" s="93">
        <f>SUM(AS56:AS62)</f>
        <v>9828</v>
      </c>
      <c r="AT63" s="93">
        <f>SUM(AT56:AT62)</f>
        <v>8975</v>
      </c>
      <c r="AU63" s="93">
        <f>SUM(AU56:AU62)</f>
        <v>9172</v>
      </c>
      <c r="AV63" s="24">
        <f t="shared" si="3"/>
        <v>9172</v>
      </c>
      <c r="AW63" s="93">
        <f>SUM(AW56:AW62)</f>
        <v>9069</v>
      </c>
      <c r="AX63" s="93">
        <f>SUM(AX56:AX62)</f>
        <v>9720</v>
      </c>
      <c r="AY63" s="93">
        <f>SUM(AY56:AY62)</f>
        <v>9617</v>
      </c>
      <c r="AZ63" s="93">
        <f>SUM(AZ56:AZ62)</f>
        <v>10559</v>
      </c>
      <c r="BA63" s="24">
        <f t="shared" si="26"/>
        <v>10559</v>
      </c>
      <c r="BB63" s="93">
        <f>SUM(BB56:BB62)</f>
        <v>9956</v>
      </c>
      <c r="BC63" s="93">
        <f>SUM(BC56:BC62)</f>
        <v>10789</v>
      </c>
      <c r="BD63" s="93">
        <f>SUM(BD56:BD62)</f>
        <v>10307</v>
      </c>
      <c r="BE63" s="93">
        <f>SUM(BE56:BE62)</f>
        <v>11205</v>
      </c>
      <c r="BF63" s="24">
        <f t="shared" si="27"/>
        <v>11205</v>
      </c>
      <c r="BG63" s="93">
        <f>SUM(BG56:BG62)</f>
        <v>11069</v>
      </c>
      <c r="BH63" s="93">
        <f>SUM(BH56:BH62)</f>
        <v>11634</v>
      </c>
      <c r="BI63" s="93">
        <f>SUM(BI56:BI62)</f>
        <v>9233</v>
      </c>
      <c r="BJ63" s="93">
        <f>SUM(BJ56:BJ62)</f>
        <v>9786</v>
      </c>
      <c r="BK63" s="24">
        <f t="shared" si="5"/>
        <v>9786</v>
      </c>
      <c r="BL63" s="93">
        <f>SUM(BL56:BL62)</f>
        <v>9619</v>
      </c>
      <c r="BM63" s="93">
        <f>SUM(BM56:BM62)</f>
        <v>10333</v>
      </c>
      <c r="BN63" s="93"/>
      <c r="BO63" s="93"/>
      <c r="BP63" s="24">
        <f t="shared" si="28"/>
        <v>10333</v>
      </c>
    </row>
    <row r="64" spans="3:68" s="76" customFormat="1" ht="13.5">
      <c r="C64" s="122" t="s">
        <v>160</v>
      </c>
      <c r="D64" s="285">
        <v>0</v>
      </c>
      <c r="E64" s="285">
        <v>0</v>
      </c>
      <c r="F64" s="285">
        <v>0</v>
      </c>
      <c r="G64" s="285">
        <v>0</v>
      </c>
      <c r="H64" s="262">
        <v>0</v>
      </c>
      <c r="I64" s="285">
        <v>0</v>
      </c>
      <c r="J64" s="285">
        <v>0</v>
      </c>
      <c r="K64" s="285">
        <v>0</v>
      </c>
      <c r="L64" s="285">
        <v>0</v>
      </c>
      <c r="M64" s="262">
        <v>0</v>
      </c>
      <c r="N64" s="285">
        <v>0</v>
      </c>
      <c r="O64" s="285">
        <v>0</v>
      </c>
      <c r="P64" s="285">
        <v>0</v>
      </c>
      <c r="Q64" s="285">
        <v>0</v>
      </c>
      <c r="R64" s="262">
        <v>0</v>
      </c>
      <c r="S64" s="285">
        <v>0</v>
      </c>
      <c r="T64" s="285">
        <v>0</v>
      </c>
      <c r="U64" s="285">
        <v>0</v>
      </c>
      <c r="V64" s="285">
        <v>0</v>
      </c>
      <c r="W64" s="262">
        <v>0</v>
      </c>
      <c r="X64" s="359">
        <v>0</v>
      </c>
      <c r="Y64" s="359">
        <v>0</v>
      </c>
      <c r="Z64" s="359">
        <v>8</v>
      </c>
      <c r="AA64" s="359">
        <v>9</v>
      </c>
      <c r="AB64" s="262">
        <v>9</v>
      </c>
      <c r="AC64" s="359">
        <v>55</v>
      </c>
      <c r="AD64" s="359">
        <v>52</v>
      </c>
      <c r="AE64" s="359">
        <v>53</v>
      </c>
      <c r="AF64" s="285">
        <v>55</v>
      </c>
      <c r="AG64" s="262">
        <v>55</v>
      </c>
      <c r="AH64" s="359">
        <v>61</v>
      </c>
      <c r="AI64" s="359">
        <v>60</v>
      </c>
      <c r="AJ64" s="359">
        <v>61</v>
      </c>
      <c r="AK64" s="285">
        <v>60</v>
      </c>
      <c r="AL64" s="262">
        <f t="shared" si="1"/>
        <v>60</v>
      </c>
      <c r="AM64" s="359">
        <v>61</v>
      </c>
      <c r="AN64" s="359">
        <v>57</v>
      </c>
      <c r="AO64" s="359">
        <v>52</v>
      </c>
      <c r="AP64" s="285">
        <v>53</v>
      </c>
      <c r="AQ64" s="262">
        <f t="shared" si="2"/>
        <v>53</v>
      </c>
      <c r="AR64" s="359">
        <v>50</v>
      </c>
      <c r="AS64" s="359">
        <v>49</v>
      </c>
      <c r="AT64" s="359">
        <v>51</v>
      </c>
      <c r="AU64" s="285">
        <v>52</v>
      </c>
      <c r="AV64" s="262">
        <f t="shared" si="3"/>
        <v>52</v>
      </c>
      <c r="AW64" s="359">
        <v>52</v>
      </c>
      <c r="AX64" s="359">
        <v>51</v>
      </c>
      <c r="AY64" s="359">
        <v>51</v>
      </c>
      <c r="AZ64" s="359">
        <v>46</v>
      </c>
      <c r="BA64" s="262">
        <f t="shared" si="26"/>
        <v>46</v>
      </c>
      <c r="BB64" s="359">
        <v>47</v>
      </c>
      <c r="BC64" s="359">
        <v>49</v>
      </c>
      <c r="BD64" s="359">
        <v>49</v>
      </c>
      <c r="BE64" s="359">
        <v>50</v>
      </c>
      <c r="BF64" s="262">
        <f t="shared" si="27"/>
        <v>50</v>
      </c>
      <c r="BG64" s="359">
        <v>51</v>
      </c>
      <c r="BH64" s="359">
        <v>53</v>
      </c>
      <c r="BI64" s="359">
        <v>54</v>
      </c>
      <c r="BJ64" s="359">
        <v>54</v>
      </c>
      <c r="BK64" s="262">
        <f t="shared" si="5"/>
        <v>54</v>
      </c>
      <c r="BL64" s="359">
        <v>55</v>
      </c>
      <c r="BM64" s="359">
        <v>56</v>
      </c>
      <c r="BN64" s="359"/>
      <c r="BO64" s="359"/>
      <c r="BP64" s="262">
        <f>BM64</f>
        <v>56</v>
      </c>
    </row>
    <row r="65" spans="3:68" s="76" customFormat="1">
      <c r="C65" s="123" t="s">
        <v>161</v>
      </c>
      <c r="D65" s="124">
        <f t="shared" ref="D65:Y65" si="31">D63+D64</f>
        <v>7900</v>
      </c>
      <c r="E65" s="124">
        <f t="shared" si="31"/>
        <v>8192</v>
      </c>
      <c r="F65" s="124">
        <f t="shared" si="31"/>
        <v>8215</v>
      </c>
      <c r="G65" s="124">
        <f t="shared" si="31"/>
        <v>8762</v>
      </c>
      <c r="H65" s="24">
        <f t="shared" si="31"/>
        <v>8762</v>
      </c>
      <c r="I65" s="124">
        <f t="shared" si="31"/>
        <v>8462</v>
      </c>
      <c r="J65" s="124">
        <f t="shared" si="31"/>
        <v>8743</v>
      </c>
      <c r="K65" s="124">
        <f t="shared" si="31"/>
        <v>8777</v>
      </c>
      <c r="L65" s="124">
        <f t="shared" si="31"/>
        <v>9324</v>
      </c>
      <c r="M65" s="24">
        <f t="shared" si="31"/>
        <v>9324</v>
      </c>
      <c r="N65" s="124">
        <f t="shared" si="31"/>
        <v>9076</v>
      </c>
      <c r="O65" s="124">
        <f t="shared" si="31"/>
        <v>9730</v>
      </c>
      <c r="P65" s="124">
        <f t="shared" si="31"/>
        <v>9644</v>
      </c>
      <c r="Q65" s="124">
        <f t="shared" si="31"/>
        <v>10637</v>
      </c>
      <c r="R65" s="24">
        <f t="shared" si="31"/>
        <v>10637</v>
      </c>
      <c r="S65" s="124">
        <f t="shared" si="31"/>
        <v>10609</v>
      </c>
      <c r="T65" s="124">
        <f t="shared" si="31"/>
        <v>11084</v>
      </c>
      <c r="U65" s="124">
        <f t="shared" si="31"/>
        <v>9544</v>
      </c>
      <c r="V65" s="124">
        <f t="shared" si="31"/>
        <v>9960</v>
      </c>
      <c r="W65" s="24">
        <f t="shared" si="31"/>
        <v>9960</v>
      </c>
      <c r="X65" s="93">
        <f t="shared" si="31"/>
        <v>8862</v>
      </c>
      <c r="Y65" s="93">
        <f t="shared" si="31"/>
        <v>8988</v>
      </c>
      <c r="Z65" s="93">
        <f>Z63+Z64</f>
        <v>9320</v>
      </c>
      <c r="AA65" s="93">
        <f>AA63+AA64</f>
        <v>9400</v>
      </c>
      <c r="AB65" s="24">
        <v>9400</v>
      </c>
      <c r="AC65" s="93">
        <f>AC63+AC64</f>
        <v>8237</v>
      </c>
      <c r="AD65" s="93">
        <f>AD63+AD64</f>
        <v>8589</v>
      </c>
      <c r="AE65" s="93">
        <f>AE63+AE64</f>
        <v>8577</v>
      </c>
      <c r="AF65" s="93">
        <f>AF63+AF64</f>
        <v>8701</v>
      </c>
      <c r="AG65" s="24">
        <v>8701</v>
      </c>
      <c r="AH65" s="93">
        <f>AH63+AH64</f>
        <v>8808</v>
      </c>
      <c r="AI65" s="93">
        <f>AI63+AI64</f>
        <v>9683</v>
      </c>
      <c r="AJ65" s="93">
        <f>AJ63+AJ64</f>
        <v>9861</v>
      </c>
      <c r="AK65" s="93">
        <f>AK63+AK64</f>
        <v>10502</v>
      </c>
      <c r="AL65" s="24">
        <f t="shared" si="1"/>
        <v>10502</v>
      </c>
      <c r="AM65" s="93">
        <f>AM63+AM64</f>
        <v>9729</v>
      </c>
      <c r="AN65" s="93">
        <f>AN63+AN64</f>
        <v>9477</v>
      </c>
      <c r="AO65" s="93">
        <f>AO63+AO64</f>
        <v>9387</v>
      </c>
      <c r="AP65" s="93">
        <f>AP63+AP64</f>
        <v>9994</v>
      </c>
      <c r="AQ65" s="24">
        <f t="shared" si="2"/>
        <v>9994</v>
      </c>
      <c r="AR65" s="93">
        <f>AR63+AR64</f>
        <v>9387</v>
      </c>
      <c r="AS65" s="93">
        <f>AS63+AS64</f>
        <v>9877</v>
      </c>
      <c r="AT65" s="93">
        <f>AT63+AT64</f>
        <v>9026</v>
      </c>
      <c r="AU65" s="93">
        <f>AU63+AU64</f>
        <v>9224</v>
      </c>
      <c r="AV65" s="24">
        <f t="shared" si="3"/>
        <v>9224</v>
      </c>
      <c r="AW65" s="93">
        <f>AW63+AW64</f>
        <v>9121</v>
      </c>
      <c r="AX65" s="93">
        <f>AX63+AX64</f>
        <v>9771</v>
      </c>
      <c r="AY65" s="93">
        <f>AY63+AY64</f>
        <v>9668</v>
      </c>
      <c r="AZ65" s="93">
        <f>AZ63+AZ64</f>
        <v>10605</v>
      </c>
      <c r="BA65" s="24">
        <f t="shared" si="26"/>
        <v>10605</v>
      </c>
      <c r="BB65" s="93">
        <f>BB63+BB64</f>
        <v>10003</v>
      </c>
      <c r="BC65" s="93">
        <f>BC63+BC64</f>
        <v>10838</v>
      </c>
      <c r="BD65" s="93">
        <f>BD63+BD64</f>
        <v>10356</v>
      </c>
      <c r="BE65" s="93">
        <f>BE63+BE64</f>
        <v>11255</v>
      </c>
      <c r="BF65" s="24">
        <f t="shared" si="27"/>
        <v>11255</v>
      </c>
      <c r="BG65" s="93">
        <f>BG63+BG64</f>
        <v>11120</v>
      </c>
      <c r="BH65" s="93">
        <f>BH63+BH64</f>
        <v>11687</v>
      </c>
      <c r="BI65" s="93">
        <f>BI63+BI64</f>
        <v>9287</v>
      </c>
      <c r="BJ65" s="93">
        <f>BJ63+BJ64</f>
        <v>9840</v>
      </c>
      <c r="BK65" s="24">
        <f t="shared" si="5"/>
        <v>9840</v>
      </c>
      <c r="BL65" s="93">
        <f>BL63+BL64</f>
        <v>9674</v>
      </c>
      <c r="BM65" s="93">
        <f>BM63+BM64</f>
        <v>10389</v>
      </c>
      <c r="BN65" s="93"/>
      <c r="BO65" s="93"/>
      <c r="BP65" s="24">
        <f t="shared" ref="BP65:BP66" si="32">BM65</f>
        <v>10389</v>
      </c>
    </row>
    <row r="66" spans="3:68">
      <c r="C66" s="125" t="s">
        <v>162</v>
      </c>
      <c r="D66" s="284">
        <f t="shared" ref="D66:Y66" si="33">D65+D54</f>
        <v>9625</v>
      </c>
      <c r="E66" s="284">
        <f t="shared" si="33"/>
        <v>9989</v>
      </c>
      <c r="F66" s="284">
        <f t="shared" si="33"/>
        <v>10028</v>
      </c>
      <c r="G66" s="284">
        <f t="shared" si="33"/>
        <v>10615</v>
      </c>
      <c r="H66" s="283">
        <f t="shared" si="33"/>
        <v>10615</v>
      </c>
      <c r="I66" s="284">
        <f t="shared" si="33"/>
        <v>10587</v>
      </c>
      <c r="J66" s="284">
        <f t="shared" si="33"/>
        <v>10810</v>
      </c>
      <c r="K66" s="284">
        <f t="shared" si="33"/>
        <v>10771</v>
      </c>
      <c r="L66" s="284">
        <f t="shared" si="33"/>
        <v>11378</v>
      </c>
      <c r="M66" s="283">
        <f t="shared" si="33"/>
        <v>11378</v>
      </c>
      <c r="N66" s="284">
        <f t="shared" si="33"/>
        <v>11317</v>
      </c>
      <c r="O66" s="284">
        <f t="shared" si="33"/>
        <v>11875</v>
      </c>
      <c r="P66" s="284">
        <f t="shared" si="33"/>
        <v>11870</v>
      </c>
      <c r="Q66" s="284">
        <f t="shared" si="33"/>
        <v>12854</v>
      </c>
      <c r="R66" s="283">
        <f t="shared" si="33"/>
        <v>12854</v>
      </c>
      <c r="S66" s="284">
        <f t="shared" si="33"/>
        <v>13178</v>
      </c>
      <c r="T66" s="284">
        <f t="shared" si="33"/>
        <v>13551</v>
      </c>
      <c r="U66" s="284">
        <f t="shared" si="33"/>
        <v>11889</v>
      </c>
      <c r="V66" s="284">
        <f t="shared" si="33"/>
        <v>12255</v>
      </c>
      <c r="W66" s="283">
        <f t="shared" si="33"/>
        <v>12255</v>
      </c>
      <c r="X66" s="284">
        <f t="shared" si="33"/>
        <v>11406</v>
      </c>
      <c r="Y66" s="284">
        <f t="shared" si="33"/>
        <v>11288</v>
      </c>
      <c r="Z66" s="284">
        <f>Z65+Z54</f>
        <v>11872</v>
      </c>
      <c r="AA66" s="284">
        <f>AA65+AA54</f>
        <v>12252</v>
      </c>
      <c r="AB66" s="283">
        <v>12252</v>
      </c>
      <c r="AC66" s="284">
        <f>AC65+AC54</f>
        <v>12417</v>
      </c>
      <c r="AD66" s="284">
        <f>AD65+AD54</f>
        <v>12021</v>
      </c>
      <c r="AE66" s="284">
        <f>AE65+AE54</f>
        <v>12110</v>
      </c>
      <c r="AF66" s="284">
        <f>AF65+AF54</f>
        <v>12260</v>
      </c>
      <c r="AG66" s="283">
        <v>12260</v>
      </c>
      <c r="AH66" s="284">
        <f>AH65+AH54</f>
        <v>13037</v>
      </c>
      <c r="AI66" s="284">
        <f>AI65+AI54</f>
        <v>13363</v>
      </c>
      <c r="AJ66" s="284">
        <f>AJ65+AJ54</f>
        <v>13869</v>
      </c>
      <c r="AK66" s="284">
        <f>AK65+AK54</f>
        <v>14825</v>
      </c>
      <c r="AL66" s="283">
        <f t="shared" si="1"/>
        <v>14825</v>
      </c>
      <c r="AM66" s="284">
        <f>AM65+AM54</f>
        <v>14730</v>
      </c>
      <c r="AN66" s="284">
        <f>AN65+AN54</f>
        <v>14295</v>
      </c>
      <c r="AO66" s="284">
        <f>AO65+AO54</f>
        <v>14673</v>
      </c>
      <c r="AP66" s="284">
        <f>AP65+AP54</f>
        <v>15555</v>
      </c>
      <c r="AQ66" s="283">
        <f t="shared" si="2"/>
        <v>15555</v>
      </c>
      <c r="AR66" s="284">
        <f>AR65+AR54</f>
        <v>15193</v>
      </c>
      <c r="AS66" s="284">
        <f>AS65+AS54</f>
        <v>15640</v>
      </c>
      <c r="AT66" s="284">
        <f>AT65+AT54</f>
        <v>15226</v>
      </c>
      <c r="AU66" s="284">
        <f>AU65+AU54</f>
        <v>15312</v>
      </c>
      <c r="AV66" s="283">
        <f t="shared" si="3"/>
        <v>15312</v>
      </c>
      <c r="AW66" s="284">
        <f>AW65+AW54</f>
        <v>16007</v>
      </c>
      <c r="AX66" s="284">
        <f>AX65+AX54</f>
        <v>15689</v>
      </c>
      <c r="AY66" s="284">
        <f>AY65+AY54</f>
        <v>15606</v>
      </c>
      <c r="AZ66" s="284">
        <f>AZ65+AZ54</f>
        <v>16523</v>
      </c>
      <c r="BA66" s="283">
        <f t="shared" si="26"/>
        <v>16523</v>
      </c>
      <c r="BB66" s="284">
        <f>BB65+BB54</f>
        <v>17270</v>
      </c>
      <c r="BC66" s="284">
        <f>BC65+BC54</f>
        <v>16928</v>
      </c>
      <c r="BD66" s="284">
        <f>BD65+BD54</f>
        <v>16291</v>
      </c>
      <c r="BE66" s="284">
        <f>BE65+BE54</f>
        <v>17419</v>
      </c>
      <c r="BF66" s="283">
        <f t="shared" si="27"/>
        <v>17419</v>
      </c>
      <c r="BG66" s="284">
        <f>BG65+BG54</f>
        <v>17447</v>
      </c>
      <c r="BH66" s="284">
        <f>BH65+BH54</f>
        <v>18064</v>
      </c>
      <c r="BI66" s="284">
        <f>BI65+BI54</f>
        <v>15953</v>
      </c>
      <c r="BJ66" s="284">
        <f>BJ65+BJ54</f>
        <v>16446</v>
      </c>
      <c r="BK66" s="283">
        <f t="shared" si="5"/>
        <v>16446</v>
      </c>
      <c r="BL66" s="284">
        <f>BL65+BL54</f>
        <v>16359</v>
      </c>
      <c r="BM66" s="284">
        <f>BM65+BM54</f>
        <v>17060</v>
      </c>
      <c r="BN66" s="284"/>
      <c r="BO66" s="284"/>
      <c r="BP66" s="283">
        <f t="shared" si="32"/>
        <v>17060</v>
      </c>
    </row>
    <row r="67" spans="3:68">
      <c r="C67" s="149"/>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C67" s="107"/>
      <c r="AD67" s="107"/>
      <c r="AE67" s="107"/>
      <c r="AF67" s="107"/>
      <c r="AH67" s="107"/>
      <c r="AI67" s="107"/>
      <c r="AJ67" s="107"/>
      <c r="AK67" s="107"/>
      <c r="AM67" s="107"/>
      <c r="AN67" s="107"/>
      <c r="AO67" s="107"/>
      <c r="AP67" s="107"/>
      <c r="AR67" s="107"/>
      <c r="AS67" s="107"/>
      <c r="AT67" s="107"/>
      <c r="AU67" s="107"/>
      <c r="AW67" s="107"/>
      <c r="AX67" s="107"/>
      <c r="AY67" s="107"/>
      <c r="AZ67" s="107"/>
      <c r="BB67" s="107"/>
      <c r="BC67" s="107"/>
      <c r="BD67" s="107"/>
      <c r="BE67" s="107"/>
      <c r="BG67" s="107"/>
      <c r="BH67" s="107"/>
      <c r="BI67" s="107"/>
      <c r="BJ67" s="107"/>
      <c r="BL67" s="107"/>
      <c r="BM67" s="107"/>
      <c r="BN67" s="107"/>
      <c r="BO67" s="107"/>
    </row>
    <row r="68" spans="3:68">
      <c r="C68" s="149" t="s">
        <v>101</v>
      </c>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7"/>
      <c r="BH68" s="107"/>
      <c r="BI68" s="107"/>
      <c r="BJ68" s="107"/>
      <c r="BK68" s="107"/>
      <c r="BL68" s="107"/>
      <c r="BM68" s="107"/>
      <c r="BN68" s="107"/>
      <c r="BO68" s="107"/>
      <c r="BP68" s="107"/>
    </row>
    <row r="69" spans="3:68">
      <c r="C69" s="39" t="s">
        <v>102</v>
      </c>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row>
    <row r="70" spans="3:68">
      <c r="C70" s="39"/>
      <c r="D70" s="100"/>
      <c r="E70" s="100"/>
      <c r="F70" s="100"/>
      <c r="G70" s="100"/>
      <c r="I70" s="100"/>
      <c r="J70" s="100"/>
      <c r="K70" s="100"/>
      <c r="L70" s="100"/>
      <c r="N70" s="100"/>
      <c r="O70" s="100"/>
      <c r="P70" s="100"/>
      <c r="Q70" s="100"/>
      <c r="S70" s="100"/>
      <c r="T70" s="100"/>
      <c r="U70" s="100"/>
      <c r="V70" s="100"/>
      <c r="W70" s="101"/>
      <c r="X70" s="100"/>
      <c r="Y70" s="100"/>
      <c r="Z70" s="100"/>
      <c r="AA70" s="100"/>
      <c r="AC70" s="100"/>
      <c r="AD70" s="100"/>
      <c r="AE70" s="100"/>
      <c r="AF70" s="100"/>
      <c r="AH70" s="100"/>
      <c r="AI70" s="100"/>
      <c r="AJ70" s="100"/>
      <c r="AK70" s="100"/>
      <c r="AM70" s="100"/>
      <c r="AN70" s="100"/>
      <c r="AO70" s="100"/>
      <c r="AP70" s="100"/>
      <c r="AR70" s="100"/>
      <c r="AS70" s="100"/>
      <c r="AT70" s="100"/>
      <c r="AU70" s="100"/>
      <c r="AW70" s="100"/>
      <c r="AX70" s="100"/>
      <c r="AY70" s="100"/>
      <c r="AZ70" s="100"/>
      <c r="BB70" s="100"/>
      <c r="BC70" s="100"/>
      <c r="BD70" s="100"/>
      <c r="BE70" s="100"/>
      <c r="BG70" s="100"/>
      <c r="BH70" s="100"/>
      <c r="BI70" s="100"/>
      <c r="BJ70" s="100"/>
      <c r="BL70" s="100"/>
      <c r="BM70" s="100"/>
      <c r="BN70" s="100"/>
      <c r="BO70" s="100"/>
    </row>
    <row r="71" spans="3:68">
      <c r="C71" s="126"/>
      <c r="D71" s="101"/>
      <c r="E71" s="101"/>
      <c r="F71" s="101"/>
      <c r="G71" s="101"/>
      <c r="I71" s="101"/>
      <c r="J71" s="101"/>
      <c r="K71" s="101"/>
      <c r="L71" s="101"/>
      <c r="N71" s="101"/>
      <c r="O71" s="101"/>
      <c r="P71" s="101"/>
      <c r="Q71" s="101"/>
      <c r="S71" s="101"/>
      <c r="T71" s="101"/>
      <c r="U71" s="101"/>
      <c r="V71" s="101"/>
      <c r="X71" s="101"/>
      <c r="Y71" s="101"/>
      <c r="Z71" s="101"/>
      <c r="AA71" s="101"/>
      <c r="AC71" s="101"/>
      <c r="AD71" s="101"/>
      <c r="AE71" s="101"/>
      <c r="AF71" s="101"/>
      <c r="AH71" s="101"/>
      <c r="AI71" s="101"/>
      <c r="AJ71" s="101"/>
      <c r="AK71" s="101"/>
      <c r="AM71" s="101"/>
      <c r="AN71" s="101"/>
      <c r="AO71" s="101"/>
      <c r="AP71" s="101"/>
      <c r="AR71" s="101"/>
      <c r="AS71" s="101"/>
      <c r="AT71" s="101"/>
      <c r="AU71" s="101"/>
      <c r="AW71" s="101"/>
      <c r="AX71" s="101"/>
      <c r="AY71" s="101"/>
      <c r="AZ71" s="101"/>
      <c r="BB71" s="101"/>
      <c r="BC71" s="101"/>
      <c r="BD71" s="101"/>
      <c r="BE71" s="101"/>
      <c r="BG71" s="101"/>
      <c r="BH71" s="101"/>
      <c r="BI71" s="101"/>
      <c r="BJ71" s="101"/>
      <c r="BL71" s="101"/>
      <c r="BM71" s="101"/>
      <c r="BN71" s="101"/>
      <c r="BO71" s="101"/>
    </row>
    <row r="72" spans="3:68">
      <c r="C72" s="126"/>
      <c r="D72" s="100"/>
      <c r="E72" s="100"/>
      <c r="F72" s="100"/>
      <c r="G72" s="100"/>
      <c r="I72" s="100"/>
      <c r="J72" s="100"/>
      <c r="K72" s="100"/>
      <c r="L72" s="100"/>
      <c r="N72" s="100"/>
      <c r="O72" s="100"/>
      <c r="P72" s="100"/>
      <c r="Q72" s="100"/>
      <c r="S72" s="100"/>
      <c r="T72" s="100"/>
      <c r="U72" s="100"/>
      <c r="V72" s="100"/>
      <c r="X72" s="100"/>
      <c r="Y72" s="100"/>
      <c r="Z72" s="100"/>
      <c r="AA72" s="100"/>
      <c r="AC72" s="100"/>
      <c r="AD72" s="100"/>
      <c r="AE72" s="100"/>
      <c r="AF72" s="100"/>
      <c r="AH72" s="100"/>
      <c r="AI72" s="100"/>
      <c r="AJ72" s="100"/>
      <c r="AK72" s="100"/>
      <c r="AM72" s="100"/>
      <c r="AN72" s="100"/>
      <c r="AO72" s="100"/>
      <c r="AP72" s="100"/>
      <c r="AR72" s="100"/>
      <c r="AS72" s="100"/>
      <c r="AT72" s="100"/>
      <c r="AU72" s="100"/>
      <c r="AW72" s="100"/>
      <c r="AX72" s="100"/>
      <c r="AY72" s="100"/>
      <c r="AZ72" s="100"/>
      <c r="BB72" s="100"/>
      <c r="BC72" s="100"/>
      <c r="BD72" s="100"/>
      <c r="BE72" s="100"/>
      <c r="BG72" s="100"/>
      <c r="BH72" s="100"/>
      <c r="BI72" s="100"/>
      <c r="BJ72" s="100"/>
      <c r="BL72" s="100"/>
      <c r="BM72" s="100"/>
      <c r="BN72" s="100"/>
      <c r="BO72" s="100"/>
    </row>
    <row r="73" spans="3:68">
      <c r="C73" s="126"/>
      <c r="D73" s="100"/>
      <c r="E73" s="100"/>
      <c r="F73" s="100"/>
      <c r="G73" s="100"/>
      <c r="I73" s="100"/>
      <c r="J73" s="100"/>
      <c r="K73" s="100"/>
      <c r="L73" s="100"/>
      <c r="N73" s="100"/>
      <c r="O73" s="100"/>
      <c r="P73" s="100"/>
      <c r="Q73" s="100"/>
      <c r="S73" s="100"/>
      <c r="T73" s="100"/>
      <c r="U73" s="100"/>
      <c r="V73" s="100"/>
      <c r="X73" s="100"/>
      <c r="Y73" s="100"/>
      <c r="Z73" s="100"/>
      <c r="AA73" s="100"/>
      <c r="AC73" s="100"/>
      <c r="AD73" s="100"/>
      <c r="AE73" s="100"/>
      <c r="AF73" s="100"/>
      <c r="AH73" s="100"/>
      <c r="AI73" s="100"/>
      <c r="AJ73" s="100"/>
      <c r="AK73" s="100"/>
      <c r="AM73" s="100"/>
      <c r="AN73" s="100"/>
      <c r="AO73" s="100"/>
      <c r="AP73" s="100"/>
      <c r="AR73" s="100"/>
      <c r="AS73" s="100"/>
      <c r="AT73" s="100"/>
      <c r="AU73" s="100"/>
      <c r="AW73" s="100"/>
      <c r="AX73" s="100"/>
      <c r="AY73" s="100"/>
      <c r="AZ73" s="100"/>
      <c r="BB73" s="100"/>
      <c r="BC73" s="100"/>
      <c r="BD73" s="100"/>
      <c r="BE73" s="100"/>
      <c r="BG73" s="100"/>
      <c r="BH73" s="100"/>
      <c r="BI73" s="100"/>
      <c r="BJ73" s="100"/>
      <c r="BL73" s="100"/>
      <c r="BM73" s="100"/>
      <c r="BN73" s="100"/>
      <c r="BO73" s="100"/>
    </row>
    <row r="74" spans="3:68">
      <c r="C74" s="126"/>
      <c r="D74" s="100"/>
      <c r="E74" s="100"/>
      <c r="F74" s="100"/>
      <c r="G74" s="100"/>
      <c r="I74" s="100"/>
      <c r="J74" s="100"/>
      <c r="K74" s="100"/>
      <c r="L74" s="100"/>
      <c r="N74" s="100"/>
      <c r="O74" s="100"/>
      <c r="P74" s="100"/>
      <c r="Q74" s="100"/>
      <c r="S74" s="100"/>
      <c r="T74" s="100"/>
      <c r="U74" s="100"/>
      <c r="V74" s="100"/>
      <c r="X74" s="100"/>
      <c r="Y74" s="100"/>
      <c r="Z74" s="100"/>
      <c r="AA74" s="100"/>
      <c r="AC74" s="100"/>
      <c r="AD74" s="100"/>
      <c r="AE74" s="100"/>
      <c r="AF74" s="100"/>
      <c r="AH74" s="100"/>
      <c r="AI74" s="100"/>
      <c r="AJ74" s="100"/>
      <c r="AK74" s="100"/>
      <c r="AM74" s="100"/>
      <c r="AN74" s="100"/>
      <c r="AO74" s="100"/>
      <c r="AP74" s="100"/>
      <c r="AR74" s="100"/>
      <c r="AS74" s="100"/>
      <c r="AT74" s="100"/>
      <c r="AU74" s="100"/>
      <c r="AW74" s="100"/>
      <c r="AX74" s="100"/>
      <c r="AY74" s="100"/>
      <c r="AZ74" s="100"/>
      <c r="BB74" s="100"/>
      <c r="BC74" s="100"/>
      <c r="BD74" s="100"/>
      <c r="BE74" s="100"/>
      <c r="BG74" s="100"/>
      <c r="BH74" s="100"/>
      <c r="BI74" s="100"/>
      <c r="BJ74" s="100"/>
      <c r="BL74" s="100"/>
      <c r="BM74" s="100"/>
      <c r="BN74" s="100"/>
      <c r="BO74" s="100"/>
    </row>
    <row r="75" spans="3:68">
      <c r="C75" s="127"/>
      <c r="D75" s="100"/>
      <c r="E75" s="100"/>
      <c r="F75" s="100"/>
      <c r="G75" s="100"/>
      <c r="I75" s="100"/>
      <c r="J75" s="100"/>
      <c r="K75" s="100"/>
      <c r="L75" s="100"/>
      <c r="N75" s="100"/>
      <c r="O75" s="100"/>
      <c r="P75" s="100"/>
      <c r="Q75" s="100"/>
      <c r="S75" s="100"/>
      <c r="T75" s="100"/>
      <c r="U75" s="100"/>
      <c r="V75" s="100"/>
      <c r="X75" s="100"/>
      <c r="Y75" s="100"/>
      <c r="Z75" s="100"/>
      <c r="AA75" s="100"/>
      <c r="AC75" s="100"/>
      <c r="AD75" s="100"/>
      <c r="AE75" s="100"/>
      <c r="AF75" s="100"/>
      <c r="AH75" s="100"/>
      <c r="AI75" s="100"/>
      <c r="AJ75" s="100"/>
      <c r="AK75" s="100"/>
      <c r="AM75" s="100"/>
      <c r="AN75" s="100"/>
      <c r="AO75" s="100"/>
      <c r="AP75" s="100"/>
      <c r="AR75" s="100"/>
      <c r="AS75" s="100"/>
      <c r="AT75" s="100"/>
      <c r="AU75" s="100"/>
      <c r="AW75" s="100"/>
      <c r="AX75" s="100"/>
      <c r="AY75" s="100"/>
      <c r="AZ75" s="100"/>
      <c r="BB75" s="100"/>
      <c r="BC75" s="100"/>
      <c r="BD75" s="100"/>
      <c r="BE75" s="100"/>
      <c r="BG75" s="100"/>
      <c r="BH75" s="100"/>
      <c r="BI75" s="100"/>
      <c r="BJ75" s="100"/>
      <c r="BL75" s="100"/>
      <c r="BM75" s="100"/>
      <c r="BN75" s="100"/>
      <c r="BO75" s="100"/>
    </row>
    <row r="76" spans="3:68">
      <c r="D76" s="100"/>
      <c r="E76" s="100"/>
      <c r="F76" s="100"/>
      <c r="G76" s="100"/>
      <c r="I76" s="100"/>
      <c r="J76" s="100"/>
      <c r="K76" s="100"/>
      <c r="L76" s="100"/>
      <c r="N76" s="100"/>
      <c r="O76" s="100"/>
      <c r="P76" s="100"/>
      <c r="Q76" s="100"/>
      <c r="S76" s="100"/>
      <c r="T76" s="100"/>
      <c r="U76" s="100"/>
      <c r="V76" s="100"/>
      <c r="X76" s="100"/>
      <c r="Y76" s="100"/>
      <c r="Z76" s="100"/>
      <c r="AA76" s="100"/>
      <c r="AC76" s="100"/>
      <c r="AD76" s="100"/>
      <c r="AE76" s="100"/>
      <c r="AF76" s="100"/>
      <c r="AH76" s="100"/>
      <c r="AI76" s="100"/>
      <c r="AJ76" s="100"/>
      <c r="AK76" s="100"/>
      <c r="AM76" s="100"/>
      <c r="AN76" s="100"/>
      <c r="AO76" s="100"/>
      <c r="AP76" s="100"/>
      <c r="AR76" s="100"/>
      <c r="AS76" s="100"/>
      <c r="AT76" s="100"/>
      <c r="AU76" s="100"/>
      <c r="AW76" s="100"/>
      <c r="AX76" s="100"/>
      <c r="AY76" s="100"/>
      <c r="AZ76" s="100"/>
      <c r="BB76" s="100"/>
      <c r="BC76" s="100"/>
      <c r="BD76" s="100"/>
      <c r="BE76" s="100"/>
      <c r="BG76" s="100"/>
      <c r="BH76" s="100"/>
      <c r="BI76" s="100"/>
      <c r="BJ76" s="100"/>
      <c r="BL76" s="100"/>
      <c r="BM76" s="100"/>
      <c r="BN76" s="100"/>
      <c r="BO76" s="100"/>
    </row>
  </sheetData>
  <hyperlinks>
    <hyperlink ref="C1" location="Index!A1" display="Index" xr:uid="{DECBC2F2-6E81-4309-BF77-F56CFED69E10}"/>
  </hyperlinks>
  <pageMargins left="0.33" right="0.35" top="0.75" bottom="0.75" header="0.3" footer="0.3"/>
  <pageSetup paperSize="9" scale="15" orientation="portrait" r:id="rId1"/>
  <headerFooter alignWithMargins="0"/>
  <customProperties>
    <customPr name="_pios_id" r:id="rId2"/>
    <customPr name="EpmWorksheetKeyString_GUID" r:id="rId3"/>
  </customProperties>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73531-9C95-4BFE-833A-0E919E92BA6F}">
  <sheetPr codeName="Sheet7">
    <pageSetUpPr fitToPage="1"/>
  </sheetPr>
  <dimension ref="B1:BO88"/>
  <sheetViews>
    <sheetView showGridLines="0" zoomScaleNormal="100" workbookViewId="0">
      <pane xSplit="2" ySplit="5" topLeftCell="BJ6" activePane="bottomRight" state="frozen"/>
      <selection pane="topRight" activeCell="BT7" sqref="BT7"/>
      <selection pane="bottomLeft" activeCell="BT7" sqref="BT7"/>
      <selection pane="bottomRight" activeCell="B1" sqref="B1"/>
    </sheetView>
  </sheetViews>
  <sheetFormatPr defaultColWidth="9.1796875" defaultRowHeight="12" outlineLevelCol="2"/>
  <cols>
    <col min="1" max="1" width="1" style="16" customWidth="1"/>
    <col min="2" max="2" width="49.1796875" style="16" customWidth="1"/>
    <col min="3" max="6" width="9.81640625" style="16" hidden="1" customWidth="1" outlineLevel="2"/>
    <col min="7" max="7" width="9.81640625" style="16" hidden="1" customWidth="1" outlineLevel="1"/>
    <col min="8" max="11" width="9.81640625" style="16" hidden="1" customWidth="1" outlineLevel="2"/>
    <col min="12" max="12" width="9.81640625" style="16" hidden="1" customWidth="1" outlineLevel="1"/>
    <col min="13" max="16" width="9.81640625" style="16" hidden="1" customWidth="1" outlineLevel="2"/>
    <col min="17" max="17" width="9.81640625" style="16" hidden="1" customWidth="1" outlineLevel="1"/>
    <col min="18" max="21" width="9.81640625" style="16" hidden="1" customWidth="1" outlineLevel="2"/>
    <col min="22" max="22" width="9.81640625" style="16" hidden="1" customWidth="1" outlineLevel="1"/>
    <col min="23" max="26" width="9.81640625" style="16" hidden="1" customWidth="1" outlineLevel="2"/>
    <col min="27" max="27" width="9.81640625" style="16" hidden="1" customWidth="1" outlineLevel="1"/>
    <col min="28" max="36" width="9.1796875" style="16" hidden="1" customWidth="1" outlineLevel="1"/>
    <col min="37" max="37" width="9.1796875" style="16" collapsed="1"/>
    <col min="38" max="41" width="9.1796875" style="16" hidden="1" customWidth="1" outlineLevel="1"/>
    <col min="42" max="42" width="9.54296875" style="16" customWidth="1" collapsed="1"/>
    <col min="43" max="46" width="9.1796875" style="16" hidden="1" customWidth="1" outlineLevel="1"/>
    <col min="47" max="47" width="9.54296875" style="16" customWidth="1" collapsed="1"/>
    <col min="48" max="51" width="9.1796875" style="16" hidden="1" customWidth="1" outlineLevel="1"/>
    <col min="52" max="52" width="9.54296875" style="16" customWidth="1" collapsed="1"/>
    <col min="53" max="56" width="9.1796875" style="16" hidden="1" customWidth="1" outlineLevel="1"/>
    <col min="57" max="57" width="9.54296875" style="16" customWidth="1" collapsed="1"/>
    <col min="58" max="61" width="9.1796875" style="16" hidden="1" customWidth="1" outlineLevel="1"/>
    <col min="62" max="62" width="10.453125" style="21" customWidth="1" collapsed="1"/>
    <col min="63" max="66" width="9.1796875" style="16" outlineLevel="1"/>
    <col min="67" max="67" width="10.453125" style="21" customWidth="1"/>
    <col min="68" max="16384" width="9.1796875" style="16"/>
  </cols>
  <sheetData>
    <row r="1" spans="2:67">
      <c r="B1" s="398" t="s">
        <v>8</v>
      </c>
      <c r="BJ1" s="16"/>
      <c r="BO1" s="16"/>
    </row>
    <row r="2" spans="2:67">
      <c r="B2" s="121"/>
      <c r="BJ2" s="16"/>
      <c r="BO2" s="16"/>
    </row>
    <row r="3" spans="2:67" ht="15.5">
      <c r="B3" s="395" t="s">
        <v>9</v>
      </c>
      <c r="G3" s="69"/>
      <c r="H3" s="69"/>
      <c r="M3" s="69"/>
      <c r="BB3" s="120"/>
      <c r="BG3" s="120"/>
      <c r="BJ3" s="16"/>
      <c r="BL3" s="120"/>
      <c r="BO3" s="16"/>
    </row>
    <row r="4" spans="2:67" ht="15.5">
      <c r="B4" s="395" t="s">
        <v>163</v>
      </c>
      <c r="BJ4" s="16"/>
      <c r="BO4" s="16"/>
    </row>
    <row r="5" spans="2:67" s="191" customFormat="1">
      <c r="B5" s="193" t="s">
        <v>245</v>
      </c>
      <c r="C5" s="192" t="s">
        <v>12</v>
      </c>
      <c r="D5" s="192" t="s">
        <v>13</v>
      </c>
      <c r="E5" s="192" t="s">
        <v>14</v>
      </c>
      <c r="F5" s="194" t="s">
        <v>15</v>
      </c>
      <c r="G5" s="193" t="s">
        <v>16</v>
      </c>
      <c r="H5" s="192" t="s">
        <v>17</v>
      </c>
      <c r="I5" s="192" t="s">
        <v>18</v>
      </c>
      <c r="J5" s="192" t="s">
        <v>19</v>
      </c>
      <c r="K5" s="194" t="s">
        <v>20</v>
      </c>
      <c r="L5" s="193" t="s">
        <v>21</v>
      </c>
      <c r="M5" s="192" t="s">
        <v>22</v>
      </c>
      <c r="N5" s="192" t="s">
        <v>23</v>
      </c>
      <c r="O5" s="192" t="s">
        <v>24</v>
      </c>
      <c r="P5" s="192" t="s">
        <v>25</v>
      </c>
      <c r="Q5" s="193" t="s">
        <v>165</v>
      </c>
      <c r="R5" s="192" t="s">
        <v>27</v>
      </c>
      <c r="S5" s="192" t="s">
        <v>28</v>
      </c>
      <c r="T5" s="192" t="s">
        <v>29</v>
      </c>
      <c r="U5" s="192" t="s">
        <v>30</v>
      </c>
      <c r="V5" s="193" t="s">
        <v>31</v>
      </c>
      <c r="W5" s="192" t="s">
        <v>32</v>
      </c>
      <c r="X5" s="192" t="s">
        <v>33</v>
      </c>
      <c r="Y5" s="192" t="s">
        <v>34</v>
      </c>
      <c r="Z5" s="192" t="s">
        <v>35</v>
      </c>
      <c r="AA5" s="193" t="s">
        <v>36</v>
      </c>
      <c r="AB5" s="187" t="s">
        <v>37</v>
      </c>
      <c r="AC5" s="187" t="s">
        <v>38</v>
      </c>
      <c r="AD5" s="187" t="s">
        <v>39</v>
      </c>
      <c r="AE5" s="187" t="s">
        <v>40</v>
      </c>
      <c r="AF5" s="193" t="s">
        <v>167</v>
      </c>
      <c r="AG5" s="187" t="s">
        <v>42</v>
      </c>
      <c r="AH5" s="187" t="s">
        <v>43</v>
      </c>
      <c r="AI5" s="187" t="s">
        <v>44</v>
      </c>
      <c r="AJ5" s="187" t="s">
        <v>45</v>
      </c>
      <c r="AK5" s="193" t="s">
        <v>46</v>
      </c>
      <c r="AL5" s="187" t="s">
        <v>47</v>
      </c>
      <c r="AM5" s="187" t="s">
        <v>48</v>
      </c>
      <c r="AN5" s="187" t="s">
        <v>49</v>
      </c>
      <c r="AO5" s="187" t="s">
        <v>50</v>
      </c>
      <c r="AP5" s="193" t="s">
        <v>225</v>
      </c>
      <c r="AQ5" s="187" t="s">
        <v>52</v>
      </c>
      <c r="AR5" s="187" t="s">
        <v>53</v>
      </c>
      <c r="AS5" s="187" t="s">
        <v>54</v>
      </c>
      <c r="AT5" s="187" t="s">
        <v>55</v>
      </c>
      <c r="AU5" s="188" t="s">
        <v>56</v>
      </c>
      <c r="AV5" s="187" t="s">
        <v>57</v>
      </c>
      <c r="AW5" s="187" t="s">
        <v>58</v>
      </c>
      <c r="AX5" s="187" t="s">
        <v>59</v>
      </c>
      <c r="AY5" s="187" t="s">
        <v>60</v>
      </c>
      <c r="AZ5" s="188" t="s">
        <v>61</v>
      </c>
      <c r="BA5" s="187" t="s">
        <v>62</v>
      </c>
      <c r="BB5" s="187" t="s">
        <v>63</v>
      </c>
      <c r="BC5" s="187" t="s">
        <v>64</v>
      </c>
      <c r="BD5" s="187" t="s">
        <v>65</v>
      </c>
      <c r="BE5" s="188" t="s">
        <v>66</v>
      </c>
      <c r="BF5" s="187" t="s">
        <v>67</v>
      </c>
      <c r="BG5" s="187" t="s">
        <v>68</v>
      </c>
      <c r="BH5" s="187" t="s">
        <v>69</v>
      </c>
      <c r="BI5" s="187" t="s">
        <v>70</v>
      </c>
      <c r="BJ5" s="188" t="s">
        <v>106</v>
      </c>
      <c r="BK5" s="187" t="s">
        <v>480</v>
      </c>
      <c r="BL5" s="187" t="s">
        <v>481</v>
      </c>
      <c r="BM5" s="187" t="s">
        <v>482</v>
      </c>
      <c r="BN5" s="187" t="s">
        <v>483</v>
      </c>
      <c r="BO5" s="188" t="s">
        <v>486</v>
      </c>
    </row>
    <row r="6" spans="2:67">
      <c r="B6" s="87" t="s">
        <v>168</v>
      </c>
      <c r="F6" s="21"/>
      <c r="G6" s="20"/>
      <c r="K6" s="21"/>
      <c r="L6" s="20"/>
      <c r="Q6" s="20"/>
      <c r="V6" s="20"/>
      <c r="AA6" s="20"/>
      <c r="AF6" s="20"/>
      <c r="AK6" s="20"/>
      <c r="AP6" s="20"/>
      <c r="AU6" s="20"/>
      <c r="AZ6" s="20"/>
      <c r="BE6" s="20"/>
      <c r="BJ6" s="20"/>
      <c r="BO6" s="20"/>
    </row>
    <row r="7" spans="2:67">
      <c r="B7" s="88" t="s">
        <v>91</v>
      </c>
      <c r="C7" s="89">
        <v>482</v>
      </c>
      <c r="D7" s="89">
        <f>993-C7</f>
        <v>511</v>
      </c>
      <c r="E7" s="89">
        <v>522</v>
      </c>
      <c r="F7" s="90">
        <v>498</v>
      </c>
      <c r="G7" s="24">
        <f>SUM(C7:F7)</f>
        <v>2013</v>
      </c>
      <c r="H7" s="89">
        <v>476</v>
      </c>
      <c r="I7" s="89">
        <f>995-H7</f>
        <v>519</v>
      </c>
      <c r="J7" s="89">
        <f>1519-H7-I7</f>
        <v>524</v>
      </c>
      <c r="K7" s="90">
        <f>2052-H7-I7-J7</f>
        <v>533</v>
      </c>
      <c r="L7" s="24">
        <f>SUM(H7:K7)</f>
        <v>2052</v>
      </c>
      <c r="M7" s="93">
        <v>511</v>
      </c>
      <c r="N7" s="93">
        <f>1050-M7</f>
        <v>539</v>
      </c>
      <c r="O7" s="93">
        <f>1597-N7-M7</f>
        <v>547</v>
      </c>
      <c r="P7" s="93">
        <v>543</v>
      </c>
      <c r="Q7" s="24">
        <f>SUM(M7:P7)</f>
        <v>2140</v>
      </c>
      <c r="R7" s="23">
        <v>541</v>
      </c>
      <c r="S7" s="93">
        <v>578</v>
      </c>
      <c r="T7" s="93">
        <f>1915-R7-S7</f>
        <v>796</v>
      </c>
      <c r="U7" s="93">
        <f>2486-T7-S7-R7</f>
        <v>571</v>
      </c>
      <c r="V7" s="24">
        <f>SUM(R7:U7)</f>
        <v>2486</v>
      </c>
      <c r="W7" s="23">
        <v>534</v>
      </c>
      <c r="X7" s="23">
        <f>1115-W7</f>
        <v>581</v>
      </c>
      <c r="Y7" s="93">
        <f>1618-X7-W7-1</f>
        <v>502</v>
      </c>
      <c r="Z7" s="93">
        <f>2200-Y7-X7-W7-2</f>
        <v>581</v>
      </c>
      <c r="AA7" s="24">
        <f>SUM(W7:Z7)+2</f>
        <v>2200</v>
      </c>
      <c r="AB7" s="23">
        <v>546</v>
      </c>
      <c r="AC7" s="23">
        <v>572</v>
      </c>
      <c r="AD7" s="23">
        <v>627</v>
      </c>
      <c r="AE7" s="93">
        <v>592</v>
      </c>
      <c r="AF7" s="24">
        <f>SUM(AB7:AE7)+1</f>
        <v>2338</v>
      </c>
      <c r="AG7" s="23">
        <v>564</v>
      </c>
      <c r="AH7" s="23">
        <f>1219-AG7</f>
        <v>655</v>
      </c>
      <c r="AI7" s="23">
        <f>1926-AH7-AG7</f>
        <v>707</v>
      </c>
      <c r="AJ7" s="93">
        <f>2623-AI7-AH7-AG7</f>
        <v>697</v>
      </c>
      <c r="AK7" s="24">
        <f>SUM(AG7:AJ7)</f>
        <v>2623</v>
      </c>
      <c r="AL7" s="23">
        <v>705</v>
      </c>
      <c r="AM7" s="23">
        <f>1439-AL7</f>
        <v>734</v>
      </c>
      <c r="AN7" s="23">
        <f>2215-AM7-AL7</f>
        <v>776</v>
      </c>
      <c r="AO7" s="93">
        <f>2968-AN7-AM7-AL7</f>
        <v>753</v>
      </c>
      <c r="AP7" s="24">
        <f>SUM(AL7:AO7)</f>
        <v>2968</v>
      </c>
      <c r="AQ7" s="23">
        <v>689</v>
      </c>
      <c r="AR7" s="23">
        <f>1438-AQ7</f>
        <v>749</v>
      </c>
      <c r="AS7" s="23">
        <f>2238-AR7-AQ7</f>
        <v>800</v>
      </c>
      <c r="AT7" s="93">
        <f>2983-AS7-AR7-AQ7</f>
        <v>745</v>
      </c>
      <c r="AU7" s="24">
        <f>SUM(AQ7:AT7)</f>
        <v>2983</v>
      </c>
      <c r="AV7" s="23">
        <v>724</v>
      </c>
      <c r="AW7" s="23">
        <f>1475-AV7</f>
        <v>751</v>
      </c>
      <c r="AX7" s="23">
        <f>2209-SUM(AV7:AW7)</f>
        <v>734</v>
      </c>
      <c r="AY7" s="93">
        <f>3169-SUM(AV7:AX7)</f>
        <v>960</v>
      </c>
      <c r="AZ7" s="24">
        <f>SUM(AV7:AY7)</f>
        <v>3169</v>
      </c>
      <c r="BA7" s="23">
        <v>764</v>
      </c>
      <c r="BB7" s="23">
        <f>1542-BA7</f>
        <v>778</v>
      </c>
      <c r="BC7" s="23">
        <f>2348-BB7-BA7</f>
        <v>806</v>
      </c>
      <c r="BD7" s="93">
        <f>3162-SUM(BA7:BC7)</f>
        <v>814</v>
      </c>
      <c r="BE7" s="24">
        <f>SUM(BA7:BD7)</f>
        <v>3162</v>
      </c>
      <c r="BF7" s="23">
        <v>809</v>
      </c>
      <c r="BG7" s="23">
        <f>1649-BF7</f>
        <v>840</v>
      </c>
      <c r="BH7" s="23">
        <f>2396-BF7-BG7+1</f>
        <v>748</v>
      </c>
      <c r="BI7" s="93">
        <f>3316-BH7-BG7-BF7+1</f>
        <v>920</v>
      </c>
      <c r="BJ7" s="24">
        <f>SUM(BF7:BI7)-1</f>
        <v>3316</v>
      </c>
      <c r="BK7" s="23">
        <v>820</v>
      </c>
      <c r="BL7" s="23">
        <f>BO7-BK7</f>
        <v>819</v>
      </c>
      <c r="BM7" s="23"/>
      <c r="BN7" s="93"/>
      <c r="BO7" s="24">
        <v>1639</v>
      </c>
    </row>
    <row r="8" spans="2:67">
      <c r="B8" s="88"/>
      <c r="C8" s="89"/>
      <c r="D8" s="89"/>
      <c r="E8" s="89"/>
      <c r="F8" s="90"/>
      <c r="G8" s="28"/>
      <c r="H8" s="89"/>
      <c r="I8" s="89"/>
      <c r="J8" s="89"/>
      <c r="K8" s="90"/>
      <c r="L8" s="28"/>
      <c r="M8" s="89"/>
      <c r="N8" s="89"/>
      <c r="O8" s="89"/>
      <c r="P8" s="89"/>
      <c r="Q8" s="28"/>
      <c r="R8" s="19"/>
      <c r="S8" s="89"/>
      <c r="T8" s="89"/>
      <c r="U8" s="89"/>
      <c r="V8" s="28"/>
      <c r="W8" s="19"/>
      <c r="X8" s="89"/>
      <c r="Y8" s="89"/>
      <c r="Z8" s="89"/>
      <c r="AA8" s="28"/>
      <c r="AB8" s="19"/>
      <c r="AC8" s="19"/>
      <c r="AD8" s="19"/>
      <c r="AE8" s="89"/>
      <c r="AF8" s="28"/>
      <c r="AG8" s="19"/>
      <c r="AH8" s="19"/>
      <c r="AI8" s="19"/>
      <c r="AJ8" s="89"/>
      <c r="AK8" s="28"/>
      <c r="AL8" s="19"/>
      <c r="AM8" s="19"/>
      <c r="AN8" s="19"/>
      <c r="AO8" s="89"/>
      <c r="AP8" s="28"/>
      <c r="AQ8" s="19"/>
      <c r="AR8" s="19"/>
      <c r="AS8" s="19"/>
      <c r="AT8" s="89"/>
      <c r="AU8" s="28"/>
      <c r="AV8" s="19"/>
      <c r="AW8" s="19"/>
      <c r="AX8" s="19"/>
      <c r="AY8" s="89"/>
      <c r="AZ8" s="28"/>
      <c r="BA8" s="19"/>
      <c r="BB8" s="19"/>
      <c r="BC8" s="19"/>
      <c r="BD8" s="89"/>
      <c r="BE8" s="28"/>
      <c r="BF8" s="19"/>
      <c r="BG8" s="19"/>
      <c r="BH8" s="19"/>
      <c r="BI8" s="89"/>
      <c r="BJ8" s="24"/>
      <c r="BK8" s="19"/>
      <c r="BL8" s="19"/>
      <c r="BM8" s="19"/>
      <c r="BN8" s="89"/>
      <c r="BO8" s="24"/>
    </row>
    <row r="9" spans="2:67" ht="24">
      <c r="B9" s="91" t="s">
        <v>246</v>
      </c>
      <c r="C9" s="89"/>
      <c r="D9" s="89"/>
      <c r="E9" s="89"/>
      <c r="F9" s="90"/>
      <c r="G9" s="28"/>
      <c r="H9" s="89"/>
      <c r="I9" s="89"/>
      <c r="J9" s="89"/>
      <c r="K9" s="90"/>
      <c r="L9" s="28"/>
      <c r="M9" s="89"/>
      <c r="N9" s="89"/>
      <c r="O9" s="89"/>
      <c r="P9" s="89"/>
      <c r="Q9" s="28"/>
      <c r="R9" s="19"/>
      <c r="S9" s="89"/>
      <c r="T9" s="89"/>
      <c r="U9" s="89"/>
      <c r="V9" s="28"/>
      <c r="W9" s="19"/>
      <c r="X9" s="89"/>
      <c r="Y9" s="89"/>
      <c r="Z9" s="89"/>
      <c r="AA9" s="28"/>
      <c r="AB9" s="19"/>
      <c r="AC9" s="19"/>
      <c r="AD9" s="19"/>
      <c r="AE9" s="89"/>
      <c r="AF9" s="28"/>
      <c r="AG9" s="19"/>
      <c r="AH9" s="19"/>
      <c r="AI9" s="19"/>
      <c r="AJ9" s="89"/>
      <c r="AK9" s="28"/>
      <c r="AL9" s="19"/>
      <c r="AM9" s="19"/>
      <c r="AN9" s="19"/>
      <c r="AO9" s="89"/>
      <c r="AP9" s="28"/>
      <c r="AQ9" s="19"/>
      <c r="AR9" s="19"/>
      <c r="AS9" s="19"/>
      <c r="AT9" s="89"/>
      <c r="AU9" s="28"/>
      <c r="AV9" s="19"/>
      <c r="AW9" s="19"/>
      <c r="AX9" s="19"/>
      <c r="AY9" s="89"/>
      <c r="AZ9" s="28"/>
      <c r="BA9" s="19"/>
      <c r="BB9" s="19"/>
      <c r="BC9" s="19"/>
      <c r="BD9" s="89"/>
      <c r="BE9" s="28"/>
      <c r="BF9" s="19"/>
      <c r="BG9" s="19"/>
      <c r="BH9" s="19"/>
      <c r="BI9" s="89"/>
      <c r="BJ9" s="24"/>
      <c r="BK9" s="19"/>
      <c r="BL9" s="19"/>
      <c r="BM9" s="19"/>
      <c r="BN9" s="89"/>
      <c r="BO9" s="24"/>
    </row>
    <row r="10" spans="2:67">
      <c r="B10" s="88" t="s">
        <v>171</v>
      </c>
      <c r="C10" s="89">
        <v>39</v>
      </c>
      <c r="D10" s="89">
        <f>86-C10</f>
        <v>47</v>
      </c>
      <c r="E10" s="89">
        <v>43</v>
      </c>
      <c r="F10" s="90">
        <v>46</v>
      </c>
      <c r="G10" s="28">
        <f t="shared" ref="G10:G20" si="0">SUM(C10:F10)</f>
        <v>175</v>
      </c>
      <c r="H10" s="89">
        <v>49</v>
      </c>
      <c r="I10" s="89">
        <f>104-H10</f>
        <v>55</v>
      </c>
      <c r="J10" s="89">
        <f>160-H10-I10</f>
        <v>56</v>
      </c>
      <c r="K10" s="90">
        <f>222-H10-I10-J10</f>
        <v>62</v>
      </c>
      <c r="L10" s="28">
        <f t="shared" ref="L10:L23" si="1">SUM(H10:K10)</f>
        <v>222</v>
      </c>
      <c r="M10" s="89">
        <v>60</v>
      </c>
      <c r="N10" s="89">
        <f>123-M10</f>
        <v>63</v>
      </c>
      <c r="O10" s="89">
        <f>187-N10-M10</f>
        <v>64</v>
      </c>
      <c r="P10" s="89">
        <v>67</v>
      </c>
      <c r="Q10" s="28">
        <f t="shared" ref="Q10:Q23" si="2">SUM(M10:P10)</f>
        <v>254</v>
      </c>
      <c r="R10" s="19">
        <v>70</v>
      </c>
      <c r="S10" s="89">
        <v>71</v>
      </c>
      <c r="T10" s="89">
        <f>218-R10-S10</f>
        <v>77</v>
      </c>
      <c r="U10" s="89">
        <f>289-T10-S10-R10</f>
        <v>71</v>
      </c>
      <c r="V10" s="28">
        <f t="shared" ref="V10:V23" si="3">SUM(R10:U10)</f>
        <v>289</v>
      </c>
      <c r="W10" s="19">
        <v>65</v>
      </c>
      <c r="X10" s="89">
        <f>130-W10</f>
        <v>65</v>
      </c>
      <c r="Y10" s="89">
        <f>212-X10-W10</f>
        <v>82</v>
      </c>
      <c r="Z10" s="89">
        <f>287-Y10-X10-W10</f>
        <v>75</v>
      </c>
      <c r="AA10" s="28">
        <f t="shared" ref="AA10:AA21" si="4">SUM(W10:Z10)</f>
        <v>287</v>
      </c>
      <c r="AB10" s="19">
        <v>98</v>
      </c>
      <c r="AC10" s="19">
        <v>103</v>
      </c>
      <c r="AD10" s="19">
        <v>103</v>
      </c>
      <c r="AE10" s="89">
        <v>103</v>
      </c>
      <c r="AF10" s="28">
        <f>SUM(AB10:AE10)</f>
        <v>407</v>
      </c>
      <c r="AG10" s="19">
        <v>100</v>
      </c>
      <c r="AH10" s="19">
        <f>215-AG10</f>
        <v>115</v>
      </c>
      <c r="AI10" s="19">
        <f>327-AH10-AG10</f>
        <v>112</v>
      </c>
      <c r="AJ10" s="89">
        <f>441-AI10-AH10-AG10</f>
        <v>114</v>
      </c>
      <c r="AK10" s="28">
        <f>SUM(AG10:AJ10)</f>
        <v>441</v>
      </c>
      <c r="AL10" s="19">
        <v>113</v>
      </c>
      <c r="AM10" s="19">
        <f>228-AL10</f>
        <v>115</v>
      </c>
      <c r="AN10" s="19">
        <f>348-AM10-AL10</f>
        <v>120</v>
      </c>
      <c r="AO10" s="89">
        <f>466-AN10-AM10-AL10</f>
        <v>118</v>
      </c>
      <c r="AP10" s="28">
        <f>SUM(AL10:AO10)</f>
        <v>466</v>
      </c>
      <c r="AQ10" s="19">
        <v>123</v>
      </c>
      <c r="AR10" s="19">
        <f>251-AQ10</f>
        <v>128</v>
      </c>
      <c r="AS10" s="19">
        <f>388-AR10-AQ10</f>
        <v>137</v>
      </c>
      <c r="AT10" s="89">
        <f>524-AS10-AR10-AQ10</f>
        <v>136</v>
      </c>
      <c r="AU10" s="28">
        <f>SUM(AQ10:AT10)</f>
        <v>524</v>
      </c>
      <c r="AV10" s="19">
        <v>143</v>
      </c>
      <c r="AW10" s="19">
        <f>284-AV10</f>
        <v>141</v>
      </c>
      <c r="AX10" s="19">
        <f>425-SUM(AV10:AW10)</f>
        <v>141</v>
      </c>
      <c r="AY10" s="89">
        <f>565-SUM(AV10:AX10)</f>
        <v>140</v>
      </c>
      <c r="AZ10" s="28">
        <f>SUM(AV10:AY10)</f>
        <v>565</v>
      </c>
      <c r="BA10" s="19">
        <v>138</v>
      </c>
      <c r="BB10" s="19">
        <f>276-BA10</f>
        <v>138</v>
      </c>
      <c r="BC10" s="19">
        <f>419-BB10-BA10</f>
        <v>143</v>
      </c>
      <c r="BD10" s="89">
        <f>569-SUM(BA10:BC10)</f>
        <v>150</v>
      </c>
      <c r="BE10" s="28">
        <f>SUM(BA10:BD10)</f>
        <v>569</v>
      </c>
      <c r="BF10" s="19">
        <v>133</v>
      </c>
      <c r="BG10" s="19">
        <f>268-BF10</f>
        <v>135</v>
      </c>
      <c r="BH10" s="19">
        <f>398-BF10-BG10</f>
        <v>130</v>
      </c>
      <c r="BI10" s="89">
        <f>552-BH10-BG10-BF10</f>
        <v>154</v>
      </c>
      <c r="BJ10" s="28">
        <f>SUM(BF10:BI10)</f>
        <v>552</v>
      </c>
      <c r="BK10" s="19">
        <v>131</v>
      </c>
      <c r="BL10" s="19">
        <f>BO10-BK10</f>
        <v>142</v>
      </c>
      <c r="BM10" s="19"/>
      <c r="BN10" s="89"/>
      <c r="BO10" s="28">
        <v>273</v>
      </c>
    </row>
    <row r="11" spans="2:67">
      <c r="B11" s="88" t="s">
        <v>89</v>
      </c>
      <c r="C11" s="89">
        <v>193</v>
      </c>
      <c r="D11" s="89">
        <f>401-C11</f>
        <v>208</v>
      </c>
      <c r="E11" s="89">
        <v>206</v>
      </c>
      <c r="F11" s="90">
        <v>198</v>
      </c>
      <c r="G11" s="28">
        <f t="shared" si="0"/>
        <v>805</v>
      </c>
      <c r="H11" s="89">
        <v>184</v>
      </c>
      <c r="I11" s="89">
        <f>396-H11</f>
        <v>212</v>
      </c>
      <c r="J11" s="89">
        <f>593-H11-I11</f>
        <v>197</v>
      </c>
      <c r="K11" s="90">
        <f>799-H11-I11-J11</f>
        <v>206</v>
      </c>
      <c r="L11" s="28">
        <f t="shared" si="1"/>
        <v>799</v>
      </c>
      <c r="M11" s="89">
        <v>203</v>
      </c>
      <c r="N11" s="89">
        <f>421-M11</f>
        <v>218</v>
      </c>
      <c r="O11" s="89">
        <f>635-N11-M11</f>
        <v>214</v>
      </c>
      <c r="P11" s="89">
        <v>199</v>
      </c>
      <c r="Q11" s="28">
        <f t="shared" si="2"/>
        <v>834</v>
      </c>
      <c r="R11" s="19">
        <v>213</v>
      </c>
      <c r="S11" s="89">
        <v>218</v>
      </c>
      <c r="T11" s="89">
        <f>453-R11-S11</f>
        <v>22</v>
      </c>
      <c r="U11" s="89">
        <f>657-T11-S11-R11</f>
        <v>204</v>
      </c>
      <c r="V11" s="28">
        <f t="shared" si="3"/>
        <v>657</v>
      </c>
      <c r="W11" s="19">
        <v>204</v>
      </c>
      <c r="X11" s="89">
        <f>420-W11</f>
        <v>216</v>
      </c>
      <c r="Y11" s="89">
        <f>633-X11-W11</f>
        <v>213</v>
      </c>
      <c r="Z11" s="89">
        <f>803-Y11-X11-W11+1</f>
        <v>171</v>
      </c>
      <c r="AA11" s="28">
        <f>SUM(W11:Z11)-1</f>
        <v>803</v>
      </c>
      <c r="AB11" s="19">
        <v>196</v>
      </c>
      <c r="AC11" s="19">
        <v>207</v>
      </c>
      <c r="AD11" s="19">
        <v>194</v>
      </c>
      <c r="AE11" s="89">
        <v>160</v>
      </c>
      <c r="AF11" s="28">
        <f>SUM(AB11:AE11)</f>
        <v>757</v>
      </c>
      <c r="AG11" s="19">
        <v>201</v>
      </c>
      <c r="AH11" s="19">
        <f>456-AG11</f>
        <v>255</v>
      </c>
      <c r="AI11" s="19">
        <f>718-AH11-AG11+1</f>
        <v>263</v>
      </c>
      <c r="AJ11" s="89">
        <f>973-AI11-AH11-AG11+1</f>
        <v>255</v>
      </c>
      <c r="AK11" s="28">
        <f>SUM(AG11:AJ11)-1</f>
        <v>973</v>
      </c>
      <c r="AL11" s="19">
        <v>268</v>
      </c>
      <c r="AM11" s="19">
        <f>540-AL11</f>
        <v>272</v>
      </c>
      <c r="AN11" s="19">
        <f>823-AM11-AL11</f>
        <v>283</v>
      </c>
      <c r="AO11" s="89">
        <f>1068-AN11-AM11-AL11</f>
        <v>245</v>
      </c>
      <c r="AP11" s="28">
        <f>SUM(AL11:AO11)</f>
        <v>1068</v>
      </c>
      <c r="AQ11" s="19">
        <v>279</v>
      </c>
      <c r="AR11" s="19">
        <f>574-AQ11</f>
        <v>295</v>
      </c>
      <c r="AS11" s="19">
        <f>859-AR11-AQ11</f>
        <v>285</v>
      </c>
      <c r="AT11" s="89">
        <f>1142-AS11-AR11-AQ11+1</f>
        <v>284</v>
      </c>
      <c r="AU11" s="28">
        <f>SUM(AQ11:AT11)-1</f>
        <v>1142</v>
      </c>
      <c r="AV11" s="19">
        <v>294</v>
      </c>
      <c r="AW11" s="19">
        <f>603-AV11</f>
        <v>309</v>
      </c>
      <c r="AX11" s="19">
        <f>904-SUM(AV11:AW11)</f>
        <v>301</v>
      </c>
      <c r="AY11" s="89">
        <f>1177-SUM(AV11:AX11)</f>
        <v>273</v>
      </c>
      <c r="AZ11" s="28">
        <f>SUM(AV11:AY11)</f>
        <v>1177</v>
      </c>
      <c r="BA11" s="19">
        <v>318</v>
      </c>
      <c r="BB11" s="19">
        <f>644-BA11</f>
        <v>326</v>
      </c>
      <c r="BC11" s="19">
        <f>981-BB11-BA11</f>
        <v>337</v>
      </c>
      <c r="BD11" s="89">
        <f>1285-SUM(BA11:BC11)</f>
        <v>304</v>
      </c>
      <c r="BE11" s="28">
        <f>SUM(BA11:BD11)</f>
        <v>1285</v>
      </c>
      <c r="BF11" s="19">
        <v>329</v>
      </c>
      <c r="BG11" s="19">
        <f>654-BF11</f>
        <v>325</v>
      </c>
      <c r="BH11" s="19">
        <f>942-BF11-BG11-1</f>
        <v>287</v>
      </c>
      <c r="BI11" s="89">
        <f>1190-BH11-BG11-BF11</f>
        <v>249</v>
      </c>
      <c r="BJ11" s="28">
        <f>SUM(BF11:BI11)</f>
        <v>1190</v>
      </c>
      <c r="BK11" s="19">
        <v>343</v>
      </c>
      <c r="BL11" s="19">
        <f>BO11-BK11</f>
        <v>337</v>
      </c>
      <c r="BM11" s="19"/>
      <c r="BN11" s="89"/>
      <c r="BO11" s="28">
        <v>680</v>
      </c>
    </row>
    <row r="12" spans="2:67">
      <c r="B12" s="88" t="s">
        <v>172</v>
      </c>
      <c r="C12" s="89">
        <v>-16</v>
      </c>
      <c r="D12" s="89">
        <f>-30-C12</f>
        <v>-14</v>
      </c>
      <c r="E12" s="89">
        <v>-10</v>
      </c>
      <c r="F12" s="90">
        <v>-8</v>
      </c>
      <c r="G12" s="28">
        <f t="shared" si="0"/>
        <v>-48</v>
      </c>
      <c r="H12" s="89">
        <v>-8</v>
      </c>
      <c r="I12" s="89">
        <f>-15-H12</f>
        <v>-7</v>
      </c>
      <c r="J12" s="89">
        <f>-21-H12-I12</f>
        <v>-6</v>
      </c>
      <c r="K12" s="90">
        <f>-27-H12-I12-J12</f>
        <v>-6</v>
      </c>
      <c r="L12" s="28">
        <f t="shared" si="1"/>
        <v>-27</v>
      </c>
      <c r="M12" s="89">
        <v>-8</v>
      </c>
      <c r="N12" s="89">
        <f>-14-M12</f>
        <v>-6</v>
      </c>
      <c r="O12" s="89">
        <f>-23-N12-M12</f>
        <v>-9</v>
      </c>
      <c r="P12" s="89">
        <v>-28</v>
      </c>
      <c r="Q12" s="28">
        <f t="shared" si="2"/>
        <v>-51</v>
      </c>
      <c r="R12" s="19">
        <v>-37</v>
      </c>
      <c r="S12" s="89">
        <v>-36</v>
      </c>
      <c r="T12" s="89">
        <f>-104-R12-S12</f>
        <v>-31</v>
      </c>
      <c r="U12" s="89">
        <f>-129-T12-S12-R12</f>
        <v>-25</v>
      </c>
      <c r="V12" s="28">
        <f t="shared" si="3"/>
        <v>-129</v>
      </c>
      <c r="W12" s="19">
        <v>-29</v>
      </c>
      <c r="X12" s="89">
        <f>-58-W12</f>
        <v>-29</v>
      </c>
      <c r="Y12" s="89">
        <f>-87-X12-W12</f>
        <v>-29</v>
      </c>
      <c r="Z12" s="89">
        <f>-130-Y12-X12-W12</f>
        <v>-43</v>
      </c>
      <c r="AA12" s="28">
        <f t="shared" si="4"/>
        <v>-130</v>
      </c>
      <c r="AB12" s="19">
        <v>-22</v>
      </c>
      <c r="AC12" s="19">
        <v>-18</v>
      </c>
      <c r="AD12" s="19">
        <v>-15</v>
      </c>
      <c r="AE12" s="89">
        <v>-13</v>
      </c>
      <c r="AF12" s="28">
        <f t="shared" ref="AF12:AF21" si="5">SUM(AB12:AE12)</f>
        <v>-68</v>
      </c>
      <c r="AG12" s="19">
        <v>-18</v>
      </c>
      <c r="AH12" s="19">
        <f>-35-AG12</f>
        <v>-17</v>
      </c>
      <c r="AI12" s="19">
        <f>-54-AH12-AG12</f>
        <v>-19</v>
      </c>
      <c r="AJ12" s="89">
        <f>-77-AI12-AH12-AG12</f>
        <v>-23</v>
      </c>
      <c r="AK12" s="28">
        <f t="shared" ref="AK12:AK21" si="6">SUM(AG12:AJ12)</f>
        <v>-77</v>
      </c>
      <c r="AL12" s="19">
        <v>-27</v>
      </c>
      <c r="AM12" s="19">
        <f>-54-AL12</f>
        <v>-27</v>
      </c>
      <c r="AN12" s="19">
        <f>-77-AM12-AL12</f>
        <v>-23</v>
      </c>
      <c r="AO12" s="89">
        <f>-108-AN12-AM12-AL12</f>
        <v>-31</v>
      </c>
      <c r="AP12" s="28">
        <f t="shared" ref="AP12:AP21" si="7">SUM(AL12:AO12)</f>
        <v>-108</v>
      </c>
      <c r="AQ12" s="19">
        <v>-36</v>
      </c>
      <c r="AR12" s="19">
        <f>-71-AQ12</f>
        <v>-35</v>
      </c>
      <c r="AS12" s="19">
        <f>-105-AR12-AQ12</f>
        <v>-34</v>
      </c>
      <c r="AT12" s="89">
        <f>-139-AS12-AR12-AQ12</f>
        <v>-34</v>
      </c>
      <c r="AU12" s="28">
        <f t="shared" ref="AU12:AU21" si="8">SUM(AQ12:AT12)</f>
        <v>-139</v>
      </c>
      <c r="AV12" s="19">
        <v>-35</v>
      </c>
      <c r="AW12" s="19">
        <f>-64-AV12</f>
        <v>-29</v>
      </c>
      <c r="AX12" s="19">
        <f>-95-AW12-AV12</f>
        <v>-31</v>
      </c>
      <c r="AY12" s="89">
        <f>-138-SUM(AV12:AX12)</f>
        <v>-43</v>
      </c>
      <c r="AZ12" s="28">
        <f t="shared" ref="AZ12:AZ22" si="9">SUM(AV12:AY12)</f>
        <v>-138</v>
      </c>
      <c r="BA12" s="19">
        <v>-44</v>
      </c>
      <c r="BB12" s="19">
        <f>-73-BA12</f>
        <v>-29</v>
      </c>
      <c r="BC12" s="19">
        <f>-99-BB12-BA12</f>
        <v>-26</v>
      </c>
      <c r="BD12" s="89">
        <f>-139-SUM(BA12:BC12)</f>
        <v>-40</v>
      </c>
      <c r="BE12" s="28">
        <f t="shared" ref="BE12:BE22" si="10">SUM(BA12:BD12)</f>
        <v>-139</v>
      </c>
      <c r="BF12" s="19">
        <v>-42</v>
      </c>
      <c r="BG12" s="19">
        <f>-72-BF12</f>
        <v>-30</v>
      </c>
      <c r="BH12" s="19">
        <f>-96-BF12-BG12</f>
        <v>-24</v>
      </c>
      <c r="BI12" s="89">
        <f>-127-BH12-BG12-BF12</f>
        <v>-31</v>
      </c>
      <c r="BJ12" s="28">
        <f>SUM(BF12:BI12)</f>
        <v>-127</v>
      </c>
      <c r="BK12" s="19">
        <v>-36</v>
      </c>
      <c r="BL12" s="19">
        <f>BO12-BK12</f>
        <v>-28</v>
      </c>
      <c r="BM12" s="19"/>
      <c r="BN12" s="89"/>
      <c r="BO12" s="28">
        <v>-64</v>
      </c>
    </row>
    <row r="13" spans="2:67">
      <c r="B13" s="138" t="s">
        <v>84</v>
      </c>
      <c r="C13" s="89"/>
      <c r="D13" s="89"/>
      <c r="E13" s="89"/>
      <c r="F13" s="90"/>
      <c r="G13" s="28"/>
      <c r="H13" s="89"/>
      <c r="I13" s="89"/>
      <c r="J13" s="89"/>
      <c r="K13" s="90"/>
      <c r="L13" s="28"/>
      <c r="M13" s="89"/>
      <c r="N13" s="89"/>
      <c r="O13" s="89"/>
      <c r="P13" s="89"/>
      <c r="Q13" s="28"/>
      <c r="R13" s="19"/>
      <c r="S13" s="89"/>
      <c r="T13" s="89"/>
      <c r="U13" s="89"/>
      <c r="V13" s="28"/>
      <c r="W13" s="19">
        <v>0</v>
      </c>
      <c r="X13" s="89">
        <v>0</v>
      </c>
      <c r="Y13" s="89">
        <v>0</v>
      </c>
      <c r="Z13" s="89">
        <v>0</v>
      </c>
      <c r="AA13" s="28">
        <f t="shared" si="4"/>
        <v>0</v>
      </c>
      <c r="AB13" s="19">
        <v>6</v>
      </c>
      <c r="AC13" s="19">
        <v>6</v>
      </c>
      <c r="AD13" s="19">
        <v>6</v>
      </c>
      <c r="AE13" s="89">
        <v>6</v>
      </c>
      <c r="AF13" s="28">
        <f t="shared" si="5"/>
        <v>24</v>
      </c>
      <c r="AG13" s="19">
        <v>6</v>
      </c>
      <c r="AH13" s="19">
        <f>12-AG13</f>
        <v>6</v>
      </c>
      <c r="AI13" s="19">
        <f>19-AH13-AG13</f>
        <v>7</v>
      </c>
      <c r="AJ13" s="89">
        <f>26-AI13-AH13-AG13</f>
        <v>7</v>
      </c>
      <c r="AK13" s="28">
        <f t="shared" si="6"/>
        <v>26</v>
      </c>
      <c r="AL13" s="19">
        <v>7</v>
      </c>
      <c r="AM13" s="19">
        <f>13-AL13</f>
        <v>6</v>
      </c>
      <c r="AN13" s="19">
        <f>20-AM13-AL13</f>
        <v>7</v>
      </c>
      <c r="AO13" s="89">
        <f>27-AN13-AM13-AL13</f>
        <v>7</v>
      </c>
      <c r="AP13" s="28">
        <f t="shared" si="7"/>
        <v>27</v>
      </c>
      <c r="AQ13" s="19">
        <v>7</v>
      </c>
      <c r="AR13" s="19">
        <f>15-AQ13</f>
        <v>8</v>
      </c>
      <c r="AS13" s="19">
        <f>25-AR13-AQ13</f>
        <v>10</v>
      </c>
      <c r="AT13" s="89">
        <f>35-AS13-AR13-AQ13</f>
        <v>10</v>
      </c>
      <c r="AU13" s="28">
        <f t="shared" si="8"/>
        <v>35</v>
      </c>
      <c r="AV13" s="19">
        <v>11</v>
      </c>
      <c r="AW13" s="19">
        <f>28-AV13</f>
        <v>17</v>
      </c>
      <c r="AX13" s="19">
        <f>43-SUM(AV13:AW13)</f>
        <v>15</v>
      </c>
      <c r="AY13" s="89">
        <f>56-SUM(AV13:AX13)</f>
        <v>13</v>
      </c>
      <c r="AZ13" s="28">
        <f t="shared" si="9"/>
        <v>56</v>
      </c>
      <c r="BA13" s="19">
        <v>13</v>
      </c>
      <c r="BB13" s="19">
        <f>26-BA13</f>
        <v>13</v>
      </c>
      <c r="BC13" s="19">
        <f>38-BB13-BA13</f>
        <v>12</v>
      </c>
      <c r="BD13" s="89">
        <f>49-SUM(BA13:BC13)+1</f>
        <v>12</v>
      </c>
      <c r="BE13" s="28">
        <f>SUM(BA13:BD13)-1</f>
        <v>49</v>
      </c>
      <c r="BF13" s="19">
        <v>12</v>
      </c>
      <c r="BG13" s="19">
        <f>24-BF13-1</f>
        <v>11</v>
      </c>
      <c r="BH13" s="19">
        <f>35-BF13-BG13-1</f>
        <v>11</v>
      </c>
      <c r="BI13" s="89">
        <f>47-BH13-BG13-BF13</f>
        <v>13</v>
      </c>
      <c r="BJ13" s="28">
        <f>SUM(BF13:BI13)</f>
        <v>47</v>
      </c>
      <c r="BK13" s="19">
        <v>13</v>
      </c>
      <c r="BL13" s="19">
        <f>BO13-BK13</f>
        <v>12</v>
      </c>
      <c r="BM13" s="19"/>
      <c r="BN13" s="89"/>
      <c r="BO13" s="28">
        <v>25</v>
      </c>
    </row>
    <row r="14" spans="2:67">
      <c r="B14" s="88" t="s">
        <v>247</v>
      </c>
      <c r="C14" s="89">
        <v>0</v>
      </c>
      <c r="D14" s="89">
        <f>6-C14</f>
        <v>6</v>
      </c>
      <c r="E14" s="89">
        <v>4</v>
      </c>
      <c r="F14" s="90">
        <v>2</v>
      </c>
      <c r="G14" s="28">
        <f t="shared" si="0"/>
        <v>12</v>
      </c>
      <c r="H14" s="89">
        <v>0</v>
      </c>
      <c r="I14" s="89">
        <v>0</v>
      </c>
      <c r="J14" s="89">
        <v>0</v>
      </c>
      <c r="K14" s="90">
        <v>0</v>
      </c>
      <c r="L14" s="28">
        <f t="shared" si="1"/>
        <v>0</v>
      </c>
      <c r="M14" s="89">
        <v>0</v>
      </c>
      <c r="N14" s="89">
        <v>0</v>
      </c>
      <c r="O14" s="89">
        <f>0-N14-M14</f>
        <v>0</v>
      </c>
      <c r="P14" s="89">
        <v>0</v>
      </c>
      <c r="Q14" s="28">
        <f t="shared" si="2"/>
        <v>0</v>
      </c>
      <c r="R14" s="19">
        <v>0</v>
      </c>
      <c r="S14" s="89">
        <v>0</v>
      </c>
      <c r="T14" s="89">
        <v>0</v>
      </c>
      <c r="U14" s="89">
        <v>0</v>
      </c>
      <c r="V14" s="28">
        <f t="shared" si="3"/>
        <v>0</v>
      </c>
      <c r="W14" s="19">
        <v>0</v>
      </c>
      <c r="X14" s="89">
        <v>0</v>
      </c>
      <c r="Y14" s="89">
        <v>0</v>
      </c>
      <c r="Z14" s="89">
        <v>0</v>
      </c>
      <c r="AA14" s="28">
        <f t="shared" si="4"/>
        <v>0</v>
      </c>
      <c r="AB14" s="19">
        <v>0</v>
      </c>
      <c r="AC14" s="19">
        <v>0</v>
      </c>
      <c r="AD14" s="19">
        <v>0</v>
      </c>
      <c r="AE14" s="89">
        <v>0</v>
      </c>
      <c r="AF14" s="28">
        <f t="shared" si="5"/>
        <v>0</v>
      </c>
      <c r="AG14" s="19">
        <v>0</v>
      </c>
      <c r="AH14" s="19">
        <v>0</v>
      </c>
      <c r="AI14" s="19">
        <v>0</v>
      </c>
      <c r="AJ14" s="19">
        <v>0</v>
      </c>
      <c r="AK14" s="28">
        <f t="shared" si="6"/>
        <v>0</v>
      </c>
      <c r="AL14" s="19">
        <v>0</v>
      </c>
      <c r="AM14" s="19">
        <v>0</v>
      </c>
      <c r="AN14" s="19">
        <v>0</v>
      </c>
      <c r="AO14" s="19">
        <v>0</v>
      </c>
      <c r="AP14" s="28">
        <f t="shared" si="7"/>
        <v>0</v>
      </c>
      <c r="AQ14" s="19">
        <v>0</v>
      </c>
      <c r="AR14" s="19">
        <v>0</v>
      </c>
      <c r="AS14" s="19">
        <v>0</v>
      </c>
      <c r="AT14" s="19">
        <v>0</v>
      </c>
      <c r="AU14" s="28">
        <f t="shared" si="8"/>
        <v>0</v>
      </c>
      <c r="AV14" s="19">
        <v>0</v>
      </c>
      <c r="AW14" s="19">
        <v>0</v>
      </c>
      <c r="AX14" s="19">
        <v>0</v>
      </c>
      <c r="AY14" s="19">
        <v>0</v>
      </c>
      <c r="AZ14" s="28">
        <f t="shared" si="9"/>
        <v>0</v>
      </c>
      <c r="BA14" s="19">
        <v>0</v>
      </c>
      <c r="BB14" s="19">
        <v>0</v>
      </c>
      <c r="BC14" s="19">
        <v>0</v>
      </c>
      <c r="BD14" s="19">
        <v>0</v>
      </c>
      <c r="BE14" s="28">
        <f t="shared" si="10"/>
        <v>0</v>
      </c>
      <c r="BF14" s="19">
        <v>0</v>
      </c>
      <c r="BG14" s="19">
        <v>0</v>
      </c>
      <c r="BH14" s="19">
        <v>0</v>
      </c>
      <c r="BI14" s="19">
        <v>0</v>
      </c>
      <c r="BJ14" s="28">
        <f t="shared" ref="BJ14:BJ31" si="11">SUM(BF14:BI14)</f>
        <v>0</v>
      </c>
      <c r="BK14" s="19">
        <v>0</v>
      </c>
      <c r="BL14" s="19">
        <f t="shared" ref="BL14:BL17" si="12">BO14-BK14</f>
        <v>0</v>
      </c>
      <c r="BM14" s="19"/>
      <c r="BN14" s="19"/>
      <c r="BO14" s="28">
        <v>0</v>
      </c>
    </row>
    <row r="15" spans="2:67">
      <c r="B15" s="88" t="s">
        <v>174</v>
      </c>
      <c r="C15" s="89">
        <v>9</v>
      </c>
      <c r="D15" s="89">
        <f>19-C15</f>
        <v>10</v>
      </c>
      <c r="E15" s="89">
        <v>10</v>
      </c>
      <c r="F15" s="90">
        <v>12</v>
      </c>
      <c r="G15" s="28">
        <f t="shared" si="0"/>
        <v>41</v>
      </c>
      <c r="H15" s="89">
        <v>9</v>
      </c>
      <c r="I15" s="89">
        <f>19-H15</f>
        <v>10</v>
      </c>
      <c r="J15" s="89">
        <f>23-H15-I15</f>
        <v>4</v>
      </c>
      <c r="K15" s="90">
        <f>23-H15-I15-J15</f>
        <v>0</v>
      </c>
      <c r="L15" s="28">
        <f t="shared" si="1"/>
        <v>23</v>
      </c>
      <c r="M15" s="89">
        <v>0</v>
      </c>
      <c r="N15" s="89">
        <f>0-M15</f>
        <v>0</v>
      </c>
      <c r="O15" s="89">
        <f>0-N15-M15</f>
        <v>0</v>
      </c>
      <c r="P15" s="89">
        <v>0</v>
      </c>
      <c r="Q15" s="28">
        <f t="shared" si="2"/>
        <v>0</v>
      </c>
      <c r="R15" s="19">
        <v>0</v>
      </c>
      <c r="S15" s="89">
        <v>0</v>
      </c>
      <c r="T15" s="89">
        <v>0</v>
      </c>
      <c r="U15" s="89">
        <v>0</v>
      </c>
      <c r="V15" s="28">
        <f t="shared" si="3"/>
        <v>0</v>
      </c>
      <c r="W15" s="19">
        <v>0</v>
      </c>
      <c r="X15" s="89">
        <v>0</v>
      </c>
      <c r="Y15" s="89">
        <v>0</v>
      </c>
      <c r="Z15" s="89">
        <v>0</v>
      </c>
      <c r="AA15" s="28">
        <f t="shared" si="4"/>
        <v>0</v>
      </c>
      <c r="AB15" s="19">
        <v>0</v>
      </c>
      <c r="AC15" s="19">
        <v>0</v>
      </c>
      <c r="AD15" s="19">
        <v>0</v>
      </c>
      <c r="AE15" s="89">
        <v>0</v>
      </c>
      <c r="AF15" s="28">
        <f t="shared" si="5"/>
        <v>0</v>
      </c>
      <c r="AG15" s="19">
        <v>0</v>
      </c>
      <c r="AH15" s="19">
        <v>0</v>
      </c>
      <c r="AI15" s="19">
        <v>0</v>
      </c>
      <c r="AJ15" s="19">
        <v>0</v>
      </c>
      <c r="AK15" s="28">
        <f t="shared" si="6"/>
        <v>0</v>
      </c>
      <c r="AL15" s="19">
        <v>0</v>
      </c>
      <c r="AM15" s="19">
        <v>0</v>
      </c>
      <c r="AN15" s="19">
        <v>0</v>
      </c>
      <c r="AO15" s="19">
        <v>0</v>
      </c>
      <c r="AP15" s="28">
        <f t="shared" si="7"/>
        <v>0</v>
      </c>
      <c r="AQ15" s="19">
        <v>0</v>
      </c>
      <c r="AR15" s="19">
        <v>0</v>
      </c>
      <c r="AS15" s="19">
        <v>0</v>
      </c>
      <c r="AT15" s="19">
        <v>0</v>
      </c>
      <c r="AU15" s="28">
        <f t="shared" si="8"/>
        <v>0</v>
      </c>
      <c r="AV15" s="19">
        <v>0</v>
      </c>
      <c r="AW15" s="19">
        <v>0</v>
      </c>
      <c r="AX15" s="19">
        <v>0</v>
      </c>
      <c r="AY15" s="19">
        <v>0</v>
      </c>
      <c r="AZ15" s="28">
        <f t="shared" si="9"/>
        <v>0</v>
      </c>
      <c r="BA15" s="19">
        <v>0</v>
      </c>
      <c r="BB15" s="19">
        <v>0</v>
      </c>
      <c r="BC15" s="19">
        <v>0</v>
      </c>
      <c r="BD15" s="19">
        <v>0</v>
      </c>
      <c r="BE15" s="28">
        <f t="shared" si="10"/>
        <v>0</v>
      </c>
      <c r="BF15" s="19">
        <v>0</v>
      </c>
      <c r="BG15" s="19">
        <v>0</v>
      </c>
      <c r="BH15" s="19">
        <v>0</v>
      </c>
      <c r="BI15" s="19">
        <v>0</v>
      </c>
      <c r="BJ15" s="28">
        <f t="shared" si="11"/>
        <v>0</v>
      </c>
      <c r="BK15" s="19">
        <v>0</v>
      </c>
      <c r="BL15" s="19">
        <f t="shared" si="12"/>
        <v>0</v>
      </c>
      <c r="BM15" s="19"/>
      <c r="BN15" s="19"/>
      <c r="BO15" s="28">
        <v>0</v>
      </c>
    </row>
    <row r="16" spans="2:67">
      <c r="B16" s="88" t="s">
        <v>248</v>
      </c>
      <c r="C16" s="89"/>
      <c r="D16" s="89"/>
      <c r="E16" s="89"/>
      <c r="F16" s="90"/>
      <c r="G16" s="28"/>
      <c r="H16" s="89"/>
      <c r="I16" s="89"/>
      <c r="J16" s="89"/>
      <c r="K16" s="90"/>
      <c r="L16" s="28"/>
      <c r="M16" s="89"/>
      <c r="N16" s="89"/>
      <c r="O16" s="89"/>
      <c r="P16" s="89"/>
      <c r="Q16" s="28"/>
      <c r="R16" s="19">
        <v>0</v>
      </c>
      <c r="S16" s="19">
        <v>0</v>
      </c>
      <c r="T16" s="19">
        <v>0</v>
      </c>
      <c r="U16" s="89">
        <f>18-T16-S16-R16</f>
        <v>18</v>
      </c>
      <c r="V16" s="28">
        <f t="shared" si="3"/>
        <v>18</v>
      </c>
      <c r="W16" s="19">
        <v>0</v>
      </c>
      <c r="X16" s="89">
        <v>0</v>
      </c>
      <c r="Y16" s="89">
        <v>0</v>
      </c>
      <c r="Z16" s="89">
        <v>0</v>
      </c>
      <c r="AA16" s="28">
        <f t="shared" si="4"/>
        <v>0</v>
      </c>
      <c r="AB16" s="19">
        <v>0</v>
      </c>
      <c r="AC16" s="19">
        <v>0</v>
      </c>
      <c r="AD16" s="19">
        <v>0</v>
      </c>
      <c r="AE16" s="89">
        <v>0</v>
      </c>
      <c r="AF16" s="28">
        <f t="shared" si="5"/>
        <v>0</v>
      </c>
      <c r="AG16" s="19">
        <v>0</v>
      </c>
      <c r="AH16" s="19">
        <v>0</v>
      </c>
      <c r="AI16" s="19">
        <v>0</v>
      </c>
      <c r="AJ16" s="19">
        <v>0</v>
      </c>
      <c r="AK16" s="28">
        <f t="shared" si="6"/>
        <v>0</v>
      </c>
      <c r="AL16" s="19">
        <v>0</v>
      </c>
      <c r="AM16" s="19">
        <v>0</v>
      </c>
      <c r="AN16" s="19">
        <v>0</v>
      </c>
      <c r="AO16" s="19">
        <v>0</v>
      </c>
      <c r="AP16" s="28">
        <f t="shared" si="7"/>
        <v>0</v>
      </c>
      <c r="AQ16" s="19">
        <v>0</v>
      </c>
      <c r="AR16" s="19">
        <v>0</v>
      </c>
      <c r="AS16" s="19">
        <v>0</v>
      </c>
      <c r="AT16" s="19">
        <v>0</v>
      </c>
      <c r="AU16" s="28">
        <f t="shared" si="8"/>
        <v>0</v>
      </c>
      <c r="AV16" s="19">
        <v>0</v>
      </c>
      <c r="AW16" s="19">
        <v>0</v>
      </c>
      <c r="AX16" s="19">
        <v>0</v>
      </c>
      <c r="AY16" s="19">
        <v>0</v>
      </c>
      <c r="AZ16" s="28">
        <f t="shared" si="9"/>
        <v>0</v>
      </c>
      <c r="BA16" s="19">
        <v>0</v>
      </c>
      <c r="BB16" s="19">
        <v>0</v>
      </c>
      <c r="BC16" s="19">
        <v>0</v>
      </c>
      <c r="BD16" s="19">
        <v>0</v>
      </c>
      <c r="BE16" s="28">
        <f t="shared" si="10"/>
        <v>0</v>
      </c>
      <c r="BF16" s="19">
        <v>0</v>
      </c>
      <c r="BG16" s="19">
        <v>0</v>
      </c>
      <c r="BH16" s="19">
        <v>0</v>
      </c>
      <c r="BI16" s="19">
        <v>0</v>
      </c>
      <c r="BJ16" s="28">
        <f t="shared" si="11"/>
        <v>0</v>
      </c>
      <c r="BK16" s="19">
        <v>0</v>
      </c>
      <c r="BL16" s="19">
        <f t="shared" si="12"/>
        <v>0</v>
      </c>
      <c r="BM16" s="19"/>
      <c r="BN16" s="19"/>
      <c r="BO16" s="28">
        <v>0</v>
      </c>
    </row>
    <row r="17" spans="2:67">
      <c r="B17" s="88" t="s">
        <v>176</v>
      </c>
      <c r="C17" s="89"/>
      <c r="D17" s="89"/>
      <c r="E17" s="89"/>
      <c r="F17" s="90"/>
      <c r="G17" s="28"/>
      <c r="H17" s="89"/>
      <c r="I17" s="89"/>
      <c r="J17" s="89"/>
      <c r="K17" s="90"/>
      <c r="L17" s="28"/>
      <c r="M17" s="89"/>
      <c r="N17" s="89"/>
      <c r="O17" s="89"/>
      <c r="P17" s="89"/>
      <c r="Q17" s="28"/>
      <c r="R17" s="19">
        <v>0</v>
      </c>
      <c r="S17" s="19">
        <v>0</v>
      </c>
      <c r="T17" s="19">
        <v>0</v>
      </c>
      <c r="U17" s="89">
        <f>11-T17-S17-R17</f>
        <v>11</v>
      </c>
      <c r="V17" s="28">
        <f t="shared" si="3"/>
        <v>11</v>
      </c>
      <c r="W17" s="19">
        <v>0</v>
      </c>
      <c r="X17" s="89">
        <v>0</v>
      </c>
      <c r="Y17" s="89">
        <v>0</v>
      </c>
      <c r="Z17" s="89">
        <v>0</v>
      </c>
      <c r="AA17" s="28">
        <f t="shared" si="4"/>
        <v>0</v>
      </c>
      <c r="AB17" s="19">
        <v>0</v>
      </c>
      <c r="AC17" s="19">
        <v>0</v>
      </c>
      <c r="AD17" s="19">
        <v>0</v>
      </c>
      <c r="AE17" s="89">
        <v>0</v>
      </c>
      <c r="AF17" s="28">
        <f t="shared" si="5"/>
        <v>0</v>
      </c>
      <c r="AG17" s="19">
        <v>0</v>
      </c>
      <c r="AH17" s="19">
        <v>0</v>
      </c>
      <c r="AI17" s="19">
        <v>0</v>
      </c>
      <c r="AJ17" s="19">
        <v>0</v>
      </c>
      <c r="AK17" s="28">
        <f t="shared" si="6"/>
        <v>0</v>
      </c>
      <c r="AL17" s="19">
        <v>0</v>
      </c>
      <c r="AM17" s="19">
        <v>0</v>
      </c>
      <c r="AN17" s="19">
        <v>0</v>
      </c>
      <c r="AO17" s="19">
        <v>0</v>
      </c>
      <c r="AP17" s="28">
        <f t="shared" si="7"/>
        <v>0</v>
      </c>
      <c r="AQ17" s="19">
        <v>0</v>
      </c>
      <c r="AR17" s="19">
        <v>0</v>
      </c>
      <c r="AS17" s="19">
        <v>0</v>
      </c>
      <c r="AT17" s="19">
        <v>0</v>
      </c>
      <c r="AU17" s="28">
        <f t="shared" si="8"/>
        <v>0</v>
      </c>
      <c r="AV17" s="19">
        <v>0</v>
      </c>
      <c r="AW17" s="19">
        <v>0</v>
      </c>
      <c r="AX17" s="19">
        <v>0</v>
      </c>
      <c r="AY17" s="19">
        <v>0</v>
      </c>
      <c r="AZ17" s="28">
        <f t="shared" si="9"/>
        <v>0</v>
      </c>
      <c r="BA17" s="19">
        <v>0</v>
      </c>
      <c r="BB17" s="19">
        <v>0</v>
      </c>
      <c r="BC17" s="19">
        <v>0</v>
      </c>
      <c r="BD17" s="19">
        <v>0</v>
      </c>
      <c r="BE17" s="28">
        <f t="shared" si="10"/>
        <v>0</v>
      </c>
      <c r="BF17" s="19">
        <v>0</v>
      </c>
      <c r="BG17" s="19">
        <v>0</v>
      </c>
      <c r="BH17" s="19">
        <v>0</v>
      </c>
      <c r="BI17" s="19">
        <v>0</v>
      </c>
      <c r="BJ17" s="28">
        <f t="shared" si="11"/>
        <v>0</v>
      </c>
      <c r="BK17" s="19">
        <v>0</v>
      </c>
      <c r="BL17" s="19">
        <f t="shared" si="12"/>
        <v>0</v>
      </c>
      <c r="BM17" s="19"/>
      <c r="BN17" s="19"/>
      <c r="BO17" s="28">
        <v>0</v>
      </c>
    </row>
    <row r="18" spans="2:67">
      <c r="B18" s="88" t="s">
        <v>249</v>
      </c>
      <c r="C18" s="89">
        <v>0</v>
      </c>
      <c r="D18" s="89">
        <f>28-C18</f>
        <v>28</v>
      </c>
      <c r="E18" s="89">
        <v>-6</v>
      </c>
      <c r="F18" s="90">
        <v>7</v>
      </c>
      <c r="G18" s="28">
        <f t="shared" si="0"/>
        <v>29</v>
      </c>
      <c r="H18" s="89">
        <v>-1</v>
      </c>
      <c r="I18" s="89">
        <f>1-H18</f>
        <v>2</v>
      </c>
      <c r="J18" s="89">
        <f>-3-H18-I18</f>
        <v>-4</v>
      </c>
      <c r="K18" s="90">
        <f>-7-H18-I18-J18</f>
        <v>-4</v>
      </c>
      <c r="L18" s="28">
        <f t="shared" si="1"/>
        <v>-7</v>
      </c>
      <c r="M18" s="89">
        <v>2</v>
      </c>
      <c r="N18" s="89">
        <f>6-M18</f>
        <v>4</v>
      </c>
      <c r="O18" s="89">
        <f>11-N18-M18</f>
        <v>5</v>
      </c>
      <c r="P18" s="89">
        <v>9</v>
      </c>
      <c r="Q18" s="28">
        <f t="shared" si="2"/>
        <v>20</v>
      </c>
      <c r="R18" s="19">
        <v>-1</v>
      </c>
      <c r="S18" s="89">
        <v>7</v>
      </c>
      <c r="T18" s="89">
        <f>10-R18-S18</f>
        <v>4</v>
      </c>
      <c r="U18" s="89">
        <f>5-T18-S18-R18</f>
        <v>-5</v>
      </c>
      <c r="V18" s="28">
        <f t="shared" si="3"/>
        <v>5</v>
      </c>
      <c r="W18" s="19">
        <v>10</v>
      </c>
      <c r="X18" s="89">
        <f>21-W18</f>
        <v>11</v>
      </c>
      <c r="Y18" s="89">
        <f>32-X18-W18</f>
        <v>11</v>
      </c>
      <c r="Z18" s="89">
        <f>34-Y18-X18-W18</f>
        <v>2</v>
      </c>
      <c r="AA18" s="28">
        <f t="shared" si="4"/>
        <v>34</v>
      </c>
      <c r="AB18" s="19">
        <v>7</v>
      </c>
      <c r="AC18" s="19">
        <v>5</v>
      </c>
      <c r="AD18" s="19">
        <v>1</v>
      </c>
      <c r="AE18" s="89">
        <v>10</v>
      </c>
      <c r="AF18" s="28">
        <f t="shared" si="5"/>
        <v>23</v>
      </c>
      <c r="AG18" s="19">
        <v>13</v>
      </c>
      <c r="AH18" s="19">
        <f>21-AG18</f>
        <v>8</v>
      </c>
      <c r="AI18" s="19">
        <f>24-AH18-AG18</f>
        <v>3</v>
      </c>
      <c r="AJ18" s="89">
        <f>25-AI18-AH18-AG18</f>
        <v>1</v>
      </c>
      <c r="AK18" s="28">
        <f t="shared" si="6"/>
        <v>25</v>
      </c>
      <c r="AL18" s="19">
        <v>6</v>
      </c>
      <c r="AM18" s="19">
        <f>12-AL18</f>
        <v>6</v>
      </c>
      <c r="AN18" s="19">
        <f>19-AM18-AL18</f>
        <v>7</v>
      </c>
      <c r="AO18" s="89">
        <f>23-AN18-AM18-AL18</f>
        <v>4</v>
      </c>
      <c r="AP18" s="28">
        <f t="shared" si="7"/>
        <v>23</v>
      </c>
      <c r="AQ18" s="19">
        <v>6</v>
      </c>
      <c r="AR18" s="19">
        <f>12-AQ18</f>
        <v>6</v>
      </c>
      <c r="AS18" s="19">
        <f>25-AR18-AQ18</f>
        <v>13</v>
      </c>
      <c r="AT18" s="89">
        <f>35-AS18-AR18-AQ18</f>
        <v>10</v>
      </c>
      <c r="AU18" s="28">
        <f t="shared" si="8"/>
        <v>35</v>
      </c>
      <c r="AV18" s="19">
        <v>11</v>
      </c>
      <c r="AW18" s="19">
        <f>25-AV18</f>
        <v>14</v>
      </c>
      <c r="AX18" s="19">
        <f>26-AW18-AV18</f>
        <v>1</v>
      </c>
      <c r="AY18" s="89">
        <f>15-SUM(AV18:AX18)</f>
        <v>-11</v>
      </c>
      <c r="AZ18" s="28">
        <f t="shared" si="9"/>
        <v>15</v>
      </c>
      <c r="BA18" s="19">
        <v>0</v>
      </c>
      <c r="BB18" s="19">
        <f>11-BA18</f>
        <v>11</v>
      </c>
      <c r="BC18" s="19">
        <f>12-BB18-BA18</f>
        <v>1</v>
      </c>
      <c r="BD18" s="89">
        <f>6-SUM(BA18:BC18)</f>
        <v>-6</v>
      </c>
      <c r="BE18" s="28">
        <f t="shared" si="10"/>
        <v>6</v>
      </c>
      <c r="BF18" s="19">
        <v>4</v>
      </c>
      <c r="BG18" s="19">
        <f>4-BF18</f>
        <v>0</v>
      </c>
      <c r="BH18" s="19">
        <f>10-BF18-BG18</f>
        <v>6</v>
      </c>
      <c r="BI18" s="89">
        <f>4-BH18-BG18-BF18</f>
        <v>-6</v>
      </c>
      <c r="BJ18" s="28">
        <f t="shared" si="11"/>
        <v>4</v>
      </c>
      <c r="BK18" s="19">
        <v>0</v>
      </c>
      <c r="BL18" s="19">
        <f t="shared" ref="BL18:BL23" si="13">BO18-BK18</f>
        <v>6</v>
      </c>
      <c r="BM18" s="19"/>
      <c r="BN18" s="89"/>
      <c r="BO18" s="28">
        <v>6</v>
      </c>
    </row>
    <row r="19" spans="2:67" ht="24">
      <c r="B19" s="392" t="s">
        <v>177</v>
      </c>
      <c r="C19" s="89"/>
      <c r="D19" s="89"/>
      <c r="E19" s="89"/>
      <c r="F19" s="90"/>
      <c r="G19" s="28"/>
      <c r="H19" s="89"/>
      <c r="I19" s="89"/>
      <c r="J19" s="89"/>
      <c r="K19" s="90"/>
      <c r="L19" s="28"/>
      <c r="M19" s="89"/>
      <c r="N19" s="89"/>
      <c r="O19" s="89"/>
      <c r="P19" s="89"/>
      <c r="Q19" s="28"/>
      <c r="R19" s="19"/>
      <c r="S19" s="89"/>
      <c r="T19" s="89"/>
      <c r="U19" s="89"/>
      <c r="V19" s="28"/>
      <c r="W19" s="19">
        <v>39</v>
      </c>
      <c r="X19" s="89">
        <f>39-W19</f>
        <v>0</v>
      </c>
      <c r="Y19" s="89">
        <f>104-X19-W19</f>
        <v>65</v>
      </c>
      <c r="Z19" s="89">
        <f>104-Y19-X19-W19</f>
        <v>0</v>
      </c>
      <c r="AA19" s="28">
        <f t="shared" si="4"/>
        <v>104</v>
      </c>
      <c r="AB19" s="19">
        <v>0</v>
      </c>
      <c r="AC19" s="19">
        <v>0</v>
      </c>
      <c r="AD19" s="19">
        <v>0</v>
      </c>
      <c r="AE19" s="89">
        <v>0</v>
      </c>
      <c r="AF19" s="28">
        <f t="shared" si="5"/>
        <v>0</v>
      </c>
      <c r="AG19" s="19">
        <v>0</v>
      </c>
      <c r="AH19" s="19">
        <v>0</v>
      </c>
      <c r="AI19" s="19">
        <v>0</v>
      </c>
      <c r="AJ19" s="89">
        <v>0</v>
      </c>
      <c r="AK19" s="28">
        <f t="shared" si="6"/>
        <v>0</v>
      </c>
      <c r="AL19" s="19">
        <v>0</v>
      </c>
      <c r="AM19" s="19">
        <v>0</v>
      </c>
      <c r="AN19" s="19">
        <v>0</v>
      </c>
      <c r="AO19" s="89">
        <v>0</v>
      </c>
      <c r="AP19" s="28">
        <f t="shared" si="7"/>
        <v>0</v>
      </c>
      <c r="AQ19" s="19">
        <v>0</v>
      </c>
      <c r="AR19" s="19">
        <v>0</v>
      </c>
      <c r="AS19" s="19">
        <v>0</v>
      </c>
      <c r="AT19" s="89">
        <v>0</v>
      </c>
      <c r="AU19" s="28">
        <f t="shared" si="8"/>
        <v>0</v>
      </c>
      <c r="AV19" s="19">
        <v>0</v>
      </c>
      <c r="AW19" s="19">
        <v>0</v>
      </c>
      <c r="AX19" s="19">
        <v>0</v>
      </c>
      <c r="AY19" s="89">
        <v>0</v>
      </c>
      <c r="AZ19" s="28">
        <f t="shared" si="9"/>
        <v>0</v>
      </c>
      <c r="BA19" s="19">
        <v>0</v>
      </c>
      <c r="BB19" s="19">
        <v>0</v>
      </c>
      <c r="BC19" s="19">
        <v>0</v>
      </c>
      <c r="BD19" s="19">
        <v>0</v>
      </c>
      <c r="BE19" s="28">
        <f t="shared" si="10"/>
        <v>0</v>
      </c>
      <c r="BF19" s="19">
        <v>0</v>
      </c>
      <c r="BG19" s="19">
        <v>0</v>
      </c>
      <c r="BH19" s="19">
        <v>0</v>
      </c>
      <c r="BI19" s="19">
        <v>0</v>
      </c>
      <c r="BJ19" s="28">
        <f t="shared" si="11"/>
        <v>0</v>
      </c>
      <c r="BK19" s="19">
        <v>0</v>
      </c>
      <c r="BL19" s="19">
        <f t="shared" si="13"/>
        <v>0</v>
      </c>
      <c r="BM19" s="19"/>
      <c r="BN19" s="19"/>
      <c r="BO19" s="28">
        <v>0</v>
      </c>
    </row>
    <row r="20" spans="2:67">
      <c r="B20" s="88" t="s">
        <v>173</v>
      </c>
      <c r="C20" s="89">
        <v>0</v>
      </c>
      <c r="D20" s="89">
        <f>3-C20</f>
        <v>3</v>
      </c>
      <c r="E20" s="89">
        <v>5</v>
      </c>
      <c r="F20" s="29">
        <v>7</v>
      </c>
      <c r="G20" s="28">
        <f t="shared" si="0"/>
        <v>15</v>
      </c>
      <c r="H20" s="89">
        <v>1</v>
      </c>
      <c r="I20" s="89">
        <f>8-H20</f>
        <v>7</v>
      </c>
      <c r="J20" s="89">
        <f>10-H20-I20</f>
        <v>2</v>
      </c>
      <c r="K20" s="29">
        <f>10-H20-I20-J20</f>
        <v>0</v>
      </c>
      <c r="L20" s="28">
        <f t="shared" si="1"/>
        <v>10</v>
      </c>
      <c r="M20" s="89">
        <v>3</v>
      </c>
      <c r="N20" s="89">
        <f>4-M20</f>
        <v>1</v>
      </c>
      <c r="O20" s="89">
        <f>6-N20-M20</f>
        <v>2</v>
      </c>
      <c r="P20" s="89">
        <v>0</v>
      </c>
      <c r="Q20" s="28">
        <f t="shared" si="2"/>
        <v>6</v>
      </c>
      <c r="R20" s="19">
        <v>-4</v>
      </c>
      <c r="S20" s="89">
        <v>2</v>
      </c>
      <c r="T20" s="89">
        <f>2-R20-S20</f>
        <v>4</v>
      </c>
      <c r="U20" s="89">
        <f>3-T20-S20-R20</f>
        <v>1</v>
      </c>
      <c r="V20" s="28">
        <f t="shared" si="3"/>
        <v>3</v>
      </c>
      <c r="W20" s="19">
        <v>9</v>
      </c>
      <c r="X20" s="89">
        <f>8-W20</f>
        <v>-1</v>
      </c>
      <c r="Y20" s="89">
        <f>10-X20-W20</f>
        <v>2</v>
      </c>
      <c r="Z20" s="89">
        <f>10-Y20-X20-W20</f>
        <v>0</v>
      </c>
      <c r="AA20" s="28">
        <f t="shared" si="4"/>
        <v>10</v>
      </c>
      <c r="AB20" s="19">
        <v>2</v>
      </c>
      <c r="AC20" s="19">
        <v>6</v>
      </c>
      <c r="AD20" s="19">
        <v>7</v>
      </c>
      <c r="AE20" s="89">
        <v>12</v>
      </c>
      <c r="AF20" s="28">
        <f t="shared" si="5"/>
        <v>27</v>
      </c>
      <c r="AG20" s="19">
        <v>3</v>
      </c>
      <c r="AH20" s="19">
        <f>-2-AG20</f>
        <v>-5</v>
      </c>
      <c r="AI20" s="19">
        <f>2-AH20-AG20-1</f>
        <v>3</v>
      </c>
      <c r="AJ20" s="89">
        <f>-8-AI20-AH20-AG20-1</f>
        <v>-10</v>
      </c>
      <c r="AK20" s="28">
        <f>SUM(AG20:AJ20)+1</f>
        <v>-8</v>
      </c>
      <c r="AL20" s="19">
        <v>16</v>
      </c>
      <c r="AM20" s="19">
        <f>8-AL20</f>
        <v>-8</v>
      </c>
      <c r="AN20" s="19">
        <f>5-AM20-AL20</f>
        <v>-3</v>
      </c>
      <c r="AO20" s="89">
        <f>15-AN20-AM20-AL20</f>
        <v>10</v>
      </c>
      <c r="AP20" s="28">
        <f>SUM(AL20:AO20)</f>
        <v>15</v>
      </c>
      <c r="AQ20" s="19">
        <v>10</v>
      </c>
      <c r="AR20" s="19">
        <f>14-AQ20</f>
        <v>4</v>
      </c>
      <c r="AS20" s="19">
        <f>47-AR20-AQ20</f>
        <v>33</v>
      </c>
      <c r="AT20" s="89">
        <f>21-AS20-AR20-AQ20-1</f>
        <v>-27</v>
      </c>
      <c r="AU20" s="28">
        <f>SUM(AQ20:AT20)+1</f>
        <v>21</v>
      </c>
      <c r="AV20" s="19">
        <v>-1</v>
      </c>
      <c r="AW20" s="19">
        <f>0-AV20</f>
        <v>1</v>
      </c>
      <c r="AX20" s="19">
        <f>16-SUM(AV20:AW20)</f>
        <v>16</v>
      </c>
      <c r="AY20" s="89">
        <f>11-SUM(AV20:AX20)</f>
        <v>-5</v>
      </c>
      <c r="AZ20" s="28">
        <f>SUM(AV20:AY20)</f>
        <v>11</v>
      </c>
      <c r="BA20" s="19">
        <v>3</v>
      </c>
      <c r="BB20" s="19">
        <f>-35-BA20</f>
        <v>-38</v>
      </c>
      <c r="BC20" s="19">
        <f>5-BB20-BA20</f>
        <v>40</v>
      </c>
      <c r="BD20" s="89">
        <f>9-SUM(BA20:BC20)-1</f>
        <v>3</v>
      </c>
      <c r="BE20" s="28">
        <f>SUM(BA20:BD20)+1</f>
        <v>9</v>
      </c>
      <c r="BF20" s="19">
        <v>35</v>
      </c>
      <c r="BG20" s="19">
        <f>67-BF20</f>
        <v>32</v>
      </c>
      <c r="BH20" s="19">
        <f>69-BF20-BG20</f>
        <v>2</v>
      </c>
      <c r="BI20" s="89">
        <f>106-BH20-BG20-BF20</f>
        <v>37</v>
      </c>
      <c r="BJ20" s="28">
        <f t="shared" si="11"/>
        <v>106</v>
      </c>
      <c r="BK20" s="19">
        <v>-3</v>
      </c>
      <c r="BL20" s="19">
        <f t="shared" si="13"/>
        <v>4</v>
      </c>
      <c r="BM20" s="19"/>
      <c r="BN20" s="89"/>
      <c r="BO20" s="28">
        <v>1</v>
      </c>
    </row>
    <row r="21" spans="2:67">
      <c r="B21" s="88" t="s">
        <v>178</v>
      </c>
      <c r="C21" s="89"/>
      <c r="D21" s="89"/>
      <c r="E21" s="89"/>
      <c r="F21" s="29"/>
      <c r="G21" s="28"/>
      <c r="H21" s="89"/>
      <c r="I21" s="89"/>
      <c r="J21" s="89"/>
      <c r="K21" s="29"/>
      <c r="L21" s="28"/>
      <c r="M21" s="89"/>
      <c r="N21" s="89"/>
      <c r="O21" s="89"/>
      <c r="P21" s="89"/>
      <c r="Q21" s="28"/>
      <c r="R21" s="19"/>
      <c r="S21" s="89"/>
      <c r="T21" s="89"/>
      <c r="U21" s="89">
        <f>13-T21-S21-R21</f>
        <v>13</v>
      </c>
      <c r="V21" s="28">
        <f t="shared" si="3"/>
        <v>13</v>
      </c>
      <c r="W21" s="19">
        <v>6</v>
      </c>
      <c r="X21" s="89">
        <f>14-W21</f>
        <v>8</v>
      </c>
      <c r="Y21" s="89">
        <f>20-X21-W21</f>
        <v>6</v>
      </c>
      <c r="Z21" s="89">
        <f>29-Y21-X21-W21</f>
        <v>9</v>
      </c>
      <c r="AA21" s="28">
        <f t="shared" si="4"/>
        <v>29</v>
      </c>
      <c r="AB21" s="19">
        <v>9</v>
      </c>
      <c r="AC21" s="19">
        <v>8</v>
      </c>
      <c r="AD21" s="19">
        <v>9</v>
      </c>
      <c r="AE21" s="89">
        <v>8</v>
      </c>
      <c r="AF21" s="28">
        <f t="shared" si="5"/>
        <v>34</v>
      </c>
      <c r="AG21" s="19">
        <v>10</v>
      </c>
      <c r="AH21" s="19">
        <f>24-AG21</f>
        <v>14</v>
      </c>
      <c r="AI21" s="19">
        <f>35-AH21-AG21</f>
        <v>11</v>
      </c>
      <c r="AJ21" s="89">
        <f>45-AI21-AH21-AG21</f>
        <v>10</v>
      </c>
      <c r="AK21" s="28">
        <f t="shared" si="6"/>
        <v>45</v>
      </c>
      <c r="AL21" s="19">
        <v>15</v>
      </c>
      <c r="AM21" s="19">
        <f>28-AL21</f>
        <v>13</v>
      </c>
      <c r="AN21" s="19">
        <f>41-AM21-AL21</f>
        <v>13</v>
      </c>
      <c r="AO21" s="89">
        <f>56-AN21-AM21-AL21</f>
        <v>15</v>
      </c>
      <c r="AP21" s="28">
        <f t="shared" si="7"/>
        <v>56</v>
      </c>
      <c r="AQ21" s="19">
        <v>17</v>
      </c>
      <c r="AR21" s="19">
        <f>34-AQ21</f>
        <v>17</v>
      </c>
      <c r="AS21" s="19">
        <f>48-AR21-AQ21</f>
        <v>14</v>
      </c>
      <c r="AT21" s="89">
        <f>64-AS21-AR21-AQ21</f>
        <v>16</v>
      </c>
      <c r="AU21" s="28">
        <f t="shared" si="8"/>
        <v>64</v>
      </c>
      <c r="AV21" s="19">
        <v>18</v>
      </c>
      <c r="AW21" s="19">
        <f>34-AV21</f>
        <v>16</v>
      </c>
      <c r="AX21" s="19">
        <f>52-SUM(AV21:AW21)</f>
        <v>18</v>
      </c>
      <c r="AY21" s="89">
        <f>79-SUM(AV21:AX21)</f>
        <v>27</v>
      </c>
      <c r="AZ21" s="28">
        <f t="shared" si="9"/>
        <v>79</v>
      </c>
      <c r="BA21" s="19">
        <v>25</v>
      </c>
      <c r="BB21" s="19">
        <f>50-BA21</f>
        <v>25</v>
      </c>
      <c r="BC21" s="19">
        <f>72-BB21-BA21</f>
        <v>22</v>
      </c>
      <c r="BD21" s="89">
        <f>95-SUM(BA21:BC21)</f>
        <v>23</v>
      </c>
      <c r="BE21" s="28">
        <f t="shared" si="10"/>
        <v>95</v>
      </c>
      <c r="BF21" s="19">
        <v>28</v>
      </c>
      <c r="BG21" s="19">
        <f>54-BF21</f>
        <v>26</v>
      </c>
      <c r="BH21" s="19">
        <f>80-BF21-BG21</f>
        <v>26</v>
      </c>
      <c r="BI21" s="89">
        <f>108-BH21-BG21-BF21</f>
        <v>28</v>
      </c>
      <c r="BJ21" s="28">
        <f t="shared" si="11"/>
        <v>108</v>
      </c>
      <c r="BK21" s="19">
        <v>24</v>
      </c>
      <c r="BL21" s="19">
        <f t="shared" si="13"/>
        <v>24</v>
      </c>
      <c r="BM21" s="19"/>
      <c r="BN21" s="89"/>
      <c r="BO21" s="28">
        <v>48</v>
      </c>
    </row>
    <row r="22" spans="2:67">
      <c r="B22" s="88" t="s">
        <v>179</v>
      </c>
      <c r="C22" s="89"/>
      <c r="D22" s="89"/>
      <c r="E22" s="89"/>
      <c r="F22" s="29"/>
      <c r="G22" s="28"/>
      <c r="H22" s="89"/>
      <c r="I22" s="89"/>
      <c r="J22" s="89"/>
      <c r="K22" s="29"/>
      <c r="L22" s="28"/>
      <c r="M22" s="89"/>
      <c r="N22" s="89"/>
      <c r="O22" s="89"/>
      <c r="P22" s="89"/>
      <c r="Q22" s="28"/>
      <c r="R22" s="19"/>
      <c r="S22" s="89"/>
      <c r="T22" s="89"/>
      <c r="U22" s="89"/>
      <c r="V22" s="28"/>
      <c r="W22" s="19"/>
      <c r="X22" s="89"/>
      <c r="Y22" s="89"/>
      <c r="Z22" s="89"/>
      <c r="AA22" s="28"/>
      <c r="AB22" s="19"/>
      <c r="AC22" s="19"/>
      <c r="AD22" s="19"/>
      <c r="AE22" s="89"/>
      <c r="AF22" s="28"/>
      <c r="AG22" s="19"/>
      <c r="AH22" s="19"/>
      <c r="AI22" s="19"/>
      <c r="AJ22" s="89"/>
      <c r="AK22" s="28"/>
      <c r="AL22" s="19"/>
      <c r="AM22" s="19"/>
      <c r="AN22" s="19"/>
      <c r="AO22" s="89"/>
      <c r="AP22" s="28"/>
      <c r="AQ22" s="19"/>
      <c r="AR22" s="19"/>
      <c r="AS22" s="19"/>
      <c r="AT22" s="89"/>
      <c r="AU22" s="28"/>
      <c r="AV22" s="19">
        <v>0</v>
      </c>
      <c r="AW22" s="19">
        <v>0</v>
      </c>
      <c r="AX22" s="19">
        <v>0</v>
      </c>
      <c r="AY22" s="89">
        <v>-234</v>
      </c>
      <c r="AZ22" s="28">
        <f t="shared" si="9"/>
        <v>-234</v>
      </c>
      <c r="BA22" s="19">
        <v>0</v>
      </c>
      <c r="BB22" s="19">
        <v>0</v>
      </c>
      <c r="BC22" s="19">
        <v>0</v>
      </c>
      <c r="BD22" s="89">
        <f>-39-SUM(BA22:BC22)</f>
        <v>-39</v>
      </c>
      <c r="BE22" s="28">
        <f t="shared" si="10"/>
        <v>-39</v>
      </c>
      <c r="BF22" s="19">
        <v>0</v>
      </c>
      <c r="BG22" s="19">
        <v>0</v>
      </c>
      <c r="BH22" s="19">
        <v>0</v>
      </c>
      <c r="BI22" s="89">
        <f>-7-BH22-BG22-BF22</f>
        <v>-7</v>
      </c>
      <c r="BJ22" s="28">
        <f t="shared" si="11"/>
        <v>-7</v>
      </c>
      <c r="BK22" s="19">
        <v>0</v>
      </c>
      <c r="BL22" s="19">
        <f t="shared" si="13"/>
        <v>0</v>
      </c>
      <c r="BM22" s="19"/>
      <c r="BN22" s="89"/>
      <c r="BO22" s="28">
        <v>0</v>
      </c>
    </row>
    <row r="23" spans="2:67">
      <c r="B23" s="88" t="s">
        <v>180</v>
      </c>
      <c r="C23" s="89"/>
      <c r="D23" s="89"/>
      <c r="E23" s="89"/>
      <c r="F23" s="29"/>
      <c r="G23" s="28"/>
      <c r="H23" s="89">
        <v>-2</v>
      </c>
      <c r="I23" s="89">
        <f>12-H23</f>
        <v>14</v>
      </c>
      <c r="J23" s="89">
        <f>22-H23-I23</f>
        <v>10</v>
      </c>
      <c r="K23" s="29">
        <f>26-H23-I23-J23</f>
        <v>4</v>
      </c>
      <c r="L23" s="28">
        <f t="shared" si="1"/>
        <v>26</v>
      </c>
      <c r="M23" s="89">
        <v>10</v>
      </c>
      <c r="N23" s="89">
        <f>31-M23</f>
        <v>21</v>
      </c>
      <c r="O23" s="89">
        <f>24-N23-M23</f>
        <v>-7</v>
      </c>
      <c r="P23" s="89">
        <v>5</v>
      </c>
      <c r="Q23" s="28">
        <f t="shared" si="2"/>
        <v>29</v>
      </c>
      <c r="R23" s="19">
        <v>10</v>
      </c>
      <c r="S23" s="89">
        <v>-11</v>
      </c>
      <c r="T23" s="89">
        <f>3-R23-S23</f>
        <v>4</v>
      </c>
      <c r="U23" s="89">
        <f>-20-T23-S23-R23</f>
        <v>-23</v>
      </c>
      <c r="V23" s="28">
        <f t="shared" si="3"/>
        <v>-20</v>
      </c>
      <c r="W23" s="19">
        <v>-8</v>
      </c>
      <c r="X23" s="89">
        <f>-8-W23</f>
        <v>0</v>
      </c>
      <c r="Y23" s="89">
        <f>-24-X23-W23+1</f>
        <v>-15</v>
      </c>
      <c r="Z23" s="89">
        <f>-15-Y23-X23-W23+1</f>
        <v>9</v>
      </c>
      <c r="AA23" s="28">
        <f>SUM(W23:Z23)-1</f>
        <v>-15</v>
      </c>
      <c r="AB23" s="19">
        <v>-10</v>
      </c>
      <c r="AC23" s="19">
        <v>-5</v>
      </c>
      <c r="AD23" s="19">
        <v>-8</v>
      </c>
      <c r="AE23" s="89">
        <v>3</v>
      </c>
      <c r="AF23" s="28">
        <f>SUM(AB23:AE23)</f>
        <v>-20</v>
      </c>
      <c r="AG23" s="19">
        <v>3</v>
      </c>
      <c r="AH23" s="19">
        <f>-9-AG23</f>
        <v>-12</v>
      </c>
      <c r="AI23" s="19">
        <f>-9-AH23-AG23</f>
        <v>0</v>
      </c>
      <c r="AJ23" s="89">
        <f>-13-AI23-AH23-AG23</f>
        <v>-4</v>
      </c>
      <c r="AK23" s="28">
        <f>SUM(AG23:AJ23)</f>
        <v>-13</v>
      </c>
      <c r="AL23" s="19">
        <v>-13</v>
      </c>
      <c r="AM23" s="19">
        <f>5-AL23</f>
        <v>18</v>
      </c>
      <c r="AN23" s="19">
        <f>19-AM23-AL23</f>
        <v>14</v>
      </c>
      <c r="AO23" s="89">
        <f>8-AN23-AM23-AL23</f>
        <v>-11</v>
      </c>
      <c r="AP23" s="28">
        <f>SUM(AL23:AO23)</f>
        <v>8</v>
      </c>
      <c r="AQ23" s="19">
        <v>17</v>
      </c>
      <c r="AR23" s="19">
        <f>36-AQ23</f>
        <v>19</v>
      </c>
      <c r="AS23" s="19">
        <f>84-AR23-AQ23</f>
        <v>48</v>
      </c>
      <c r="AT23" s="89">
        <f>80-AS23-AR23-AQ23</f>
        <v>-4</v>
      </c>
      <c r="AU23" s="28">
        <f>SUM(AQ23:AT23)</f>
        <v>80</v>
      </c>
      <c r="AV23" s="19">
        <v>67</v>
      </c>
      <c r="AW23" s="19">
        <f>111-AV23</f>
        <v>44</v>
      </c>
      <c r="AX23" s="19">
        <f>157-AW23-AV23</f>
        <v>46</v>
      </c>
      <c r="AY23" s="89">
        <f>185-SUM(AV23:AX23)</f>
        <v>28</v>
      </c>
      <c r="AZ23" s="28">
        <f>SUM(AV23:AY23)</f>
        <v>185</v>
      </c>
      <c r="BA23" s="19">
        <v>-8</v>
      </c>
      <c r="BB23" s="19">
        <f>108-BA23</f>
        <v>116</v>
      </c>
      <c r="BC23" s="19">
        <f>81-BB23-BA23</f>
        <v>-27</v>
      </c>
      <c r="BD23" s="19">
        <f>86-SUM(BA23:BC23)</f>
        <v>5</v>
      </c>
      <c r="BE23" s="28">
        <f>SUM(BA23:BD23)</f>
        <v>86</v>
      </c>
      <c r="BF23" s="19">
        <v>20</v>
      </c>
      <c r="BG23" s="19">
        <f>77-12-BF23+1</f>
        <v>46</v>
      </c>
      <c r="BH23" s="19">
        <f>116-BF23-BG23+1</f>
        <v>51</v>
      </c>
      <c r="BI23" s="19">
        <f>101-19-BH23-BG23-BF23-1</f>
        <v>-36</v>
      </c>
      <c r="BJ23" s="28">
        <f>SUM(BF23:BI23)+1</f>
        <v>82</v>
      </c>
      <c r="BK23" s="19">
        <v>34</v>
      </c>
      <c r="BL23" s="19">
        <f t="shared" si="13"/>
        <v>57</v>
      </c>
      <c r="BM23" s="19"/>
      <c r="BN23" s="19"/>
      <c r="BO23" s="28">
        <v>91</v>
      </c>
    </row>
    <row r="24" spans="2:67">
      <c r="B24" s="92" t="s">
        <v>181</v>
      </c>
      <c r="C24" s="89"/>
      <c r="D24" s="89"/>
      <c r="E24" s="89"/>
      <c r="F24" s="29"/>
      <c r="G24" s="28"/>
      <c r="H24" s="89"/>
      <c r="I24" s="89"/>
      <c r="J24" s="89"/>
      <c r="K24" s="29"/>
      <c r="L24" s="28"/>
      <c r="M24" s="89"/>
      <c r="N24" s="89"/>
      <c r="O24" s="89"/>
      <c r="P24" s="89"/>
      <c r="Q24" s="28"/>
      <c r="R24" s="89"/>
      <c r="S24" s="89"/>
      <c r="T24" s="89"/>
      <c r="U24" s="89"/>
      <c r="V24" s="28"/>
      <c r="W24" s="89"/>
      <c r="X24" s="89"/>
      <c r="Y24" s="89"/>
      <c r="Z24" s="89"/>
      <c r="AA24" s="28"/>
      <c r="AB24" s="89"/>
      <c r="AC24" s="89"/>
      <c r="AD24" s="89"/>
      <c r="AE24" s="89"/>
      <c r="AF24" s="28"/>
      <c r="AG24" s="89"/>
      <c r="AH24" s="89"/>
      <c r="AI24" s="89"/>
      <c r="AJ24" s="89"/>
      <c r="AK24" s="28"/>
      <c r="AL24" s="89"/>
      <c r="AM24" s="89"/>
      <c r="AN24" s="89"/>
      <c r="AO24" s="89"/>
      <c r="AP24" s="28"/>
      <c r="AQ24" s="89"/>
      <c r="AR24" s="89"/>
      <c r="AS24" s="89"/>
      <c r="AT24" s="89"/>
      <c r="AU24" s="28"/>
      <c r="AV24" s="89"/>
      <c r="AW24" s="89"/>
      <c r="AX24" s="89"/>
      <c r="AY24" s="89"/>
      <c r="AZ24" s="28"/>
      <c r="BA24" s="89"/>
      <c r="BB24" s="89"/>
      <c r="BC24" s="89"/>
      <c r="BD24" s="89"/>
      <c r="BE24" s="28"/>
      <c r="BF24" s="89"/>
      <c r="BG24" s="89"/>
      <c r="BH24" s="89"/>
      <c r="BI24" s="89"/>
      <c r="BJ24" s="28"/>
      <c r="BK24" s="89"/>
      <c r="BL24" s="89"/>
      <c r="BM24" s="89"/>
      <c r="BN24" s="89"/>
      <c r="BO24" s="28"/>
    </row>
    <row r="25" spans="2:67">
      <c r="B25" s="88" t="s">
        <v>182</v>
      </c>
      <c r="C25" s="89">
        <v>-137</v>
      </c>
      <c r="D25" s="89">
        <f>-142-C25</f>
        <v>-5</v>
      </c>
      <c r="E25" s="89">
        <v>4</v>
      </c>
      <c r="F25" s="29">
        <v>-102</v>
      </c>
      <c r="G25" s="28">
        <f t="shared" ref="G25:G31" si="14">SUM(C25:F25)</f>
        <v>-240</v>
      </c>
      <c r="H25" s="89">
        <v>-138</v>
      </c>
      <c r="I25" s="89">
        <f>-98-H25</f>
        <v>40</v>
      </c>
      <c r="J25" s="89">
        <f>-159-H25-I25</f>
        <v>-61</v>
      </c>
      <c r="K25" s="29">
        <f>-225-H25-I25-J25</f>
        <v>-66</v>
      </c>
      <c r="L25" s="28">
        <f t="shared" ref="L25:L31" si="15">SUM(H25:K25)</f>
        <v>-225</v>
      </c>
      <c r="M25" s="89">
        <v>-122</v>
      </c>
      <c r="N25" s="89">
        <f>-170-M25</f>
        <v>-48</v>
      </c>
      <c r="O25" s="89">
        <f>-308-N25-M25</f>
        <v>-138</v>
      </c>
      <c r="P25" s="89">
        <v>48</v>
      </c>
      <c r="Q25" s="28">
        <f t="shared" ref="Q25:Q31" si="16">SUM(M25:P25)</f>
        <v>-260</v>
      </c>
      <c r="R25" s="19">
        <v>-72</v>
      </c>
      <c r="S25" s="89">
        <v>-179</v>
      </c>
      <c r="T25" s="89">
        <f>-138-R25-S25</f>
        <v>113</v>
      </c>
      <c r="U25" s="89">
        <f>-237-T25-S25-R25</f>
        <v>-99</v>
      </c>
      <c r="V25" s="28">
        <f t="shared" ref="V25:V31" si="17">SUM(R25:U25)</f>
        <v>-237</v>
      </c>
      <c r="W25" s="19">
        <v>-145</v>
      </c>
      <c r="X25" s="89">
        <f>-387-W25</f>
        <v>-242</v>
      </c>
      <c r="Y25" s="89">
        <f>-332-X25-W25</f>
        <v>55</v>
      </c>
      <c r="Z25" s="89">
        <f>-411-Y25-X25-W25</f>
        <v>-79</v>
      </c>
      <c r="AA25" s="28">
        <f t="shared" ref="AA25:AA31" si="18">SUM(W25:Z25)</f>
        <v>-411</v>
      </c>
      <c r="AB25" s="19">
        <v>-97</v>
      </c>
      <c r="AC25" s="19">
        <v>-128</v>
      </c>
      <c r="AD25" s="19">
        <f>-285+108</f>
        <v>-177</v>
      </c>
      <c r="AE25" s="19">
        <v>-140</v>
      </c>
      <c r="AF25" s="28">
        <f>SUM(AB25:AE25)</f>
        <v>-542</v>
      </c>
      <c r="AG25" s="19">
        <v>-57</v>
      </c>
      <c r="AH25" s="19">
        <f>-9-AG25</f>
        <v>48</v>
      </c>
      <c r="AI25" s="19">
        <f>-176-AH25-AG25</f>
        <v>-167</v>
      </c>
      <c r="AJ25" s="19">
        <f>-248-AI25-AH25-AG25</f>
        <v>-72</v>
      </c>
      <c r="AK25" s="28">
        <f t="shared" ref="AK25:AK31" si="19">SUM(AG25:AJ25)</f>
        <v>-248</v>
      </c>
      <c r="AL25" s="19">
        <v>-304</v>
      </c>
      <c r="AM25" s="19">
        <f>-401-AL25</f>
        <v>-97</v>
      </c>
      <c r="AN25" s="19">
        <f>-817-AM25-AL25</f>
        <v>-416</v>
      </c>
      <c r="AO25" s="19">
        <f>-1064-AN25-AM25-AL25</f>
        <v>-247</v>
      </c>
      <c r="AP25" s="28">
        <f t="shared" ref="AP25:AP31" si="20">SUM(AL25:AO25)</f>
        <v>-1064</v>
      </c>
      <c r="AQ25" s="19">
        <v>-324</v>
      </c>
      <c r="AR25" s="19">
        <f>-614-AQ25</f>
        <v>-290</v>
      </c>
      <c r="AS25" s="19">
        <f>-915-AR25-AQ25</f>
        <v>-301</v>
      </c>
      <c r="AT25" s="19">
        <f>-875-AS25-AR25-AQ25</f>
        <v>40</v>
      </c>
      <c r="AU25" s="28">
        <f t="shared" ref="AU25:AU30" si="21">SUM(AQ25:AT25)</f>
        <v>-875</v>
      </c>
      <c r="AV25" s="19">
        <v>-13</v>
      </c>
      <c r="AW25" s="19">
        <f>-213-AV25</f>
        <v>-200</v>
      </c>
      <c r="AX25" s="19">
        <f>-429-SUM(AV25:AW25)</f>
        <v>-216</v>
      </c>
      <c r="AY25" s="19">
        <f>-322-SUM(AV25:AX25)</f>
        <v>107</v>
      </c>
      <c r="AZ25" s="28">
        <f t="shared" ref="AZ25:AZ30" si="22">SUM(AV25:AY25)</f>
        <v>-322</v>
      </c>
      <c r="BA25" s="19">
        <v>-60</v>
      </c>
      <c r="BB25" s="19">
        <f>-327-BA25</f>
        <v>-267</v>
      </c>
      <c r="BC25" s="19">
        <f>-338-BB25-BA25</f>
        <v>-11</v>
      </c>
      <c r="BD25" s="19">
        <f>-209-SUM(BA25:BC25)</f>
        <v>129</v>
      </c>
      <c r="BE25" s="28">
        <f t="shared" ref="BE25:BE30" si="23">SUM(BA25:BD25)</f>
        <v>-209</v>
      </c>
      <c r="BF25" s="19">
        <v>-227</v>
      </c>
      <c r="BG25" s="19">
        <f>-506-BF25-1</f>
        <v>-280</v>
      </c>
      <c r="BH25" s="19">
        <f>-617-BF25-BG25</f>
        <v>-110</v>
      </c>
      <c r="BI25" s="19">
        <f>-583-BH25-BG25-BF25</f>
        <v>34</v>
      </c>
      <c r="BJ25" s="28">
        <f>SUM(BF25:BI25)</f>
        <v>-583</v>
      </c>
      <c r="BK25" s="19">
        <v>88</v>
      </c>
      <c r="BL25" s="19">
        <f>BO25-BK25</f>
        <v>-122</v>
      </c>
      <c r="BM25" s="19"/>
      <c r="BN25" s="19"/>
      <c r="BO25" s="28">
        <v>-34</v>
      </c>
    </row>
    <row r="26" spans="2:67">
      <c r="B26" s="88" t="s">
        <v>183</v>
      </c>
      <c r="C26" s="89">
        <v>-16</v>
      </c>
      <c r="D26" s="89">
        <f>2-C26</f>
        <v>18</v>
      </c>
      <c r="E26" s="89">
        <v>-2</v>
      </c>
      <c r="F26" s="90">
        <v>-81</v>
      </c>
      <c r="G26" s="28">
        <f t="shared" si="14"/>
        <v>-81</v>
      </c>
      <c r="H26" s="89">
        <v>-110</v>
      </c>
      <c r="I26" s="89">
        <f>-262-H26</f>
        <v>-152</v>
      </c>
      <c r="J26" s="89">
        <f>-280-H26-I26</f>
        <v>-18</v>
      </c>
      <c r="K26" s="90">
        <f>-220-H26-I26-J26</f>
        <v>60</v>
      </c>
      <c r="L26" s="28">
        <f t="shared" si="15"/>
        <v>-220</v>
      </c>
      <c r="M26" s="89">
        <v>-127</v>
      </c>
      <c r="N26" s="89">
        <f>-94-M26</f>
        <v>33</v>
      </c>
      <c r="O26" s="89">
        <f>-137-N26-M26</f>
        <v>-43</v>
      </c>
      <c r="P26" s="89">
        <v>67</v>
      </c>
      <c r="Q26" s="28">
        <f t="shared" si="16"/>
        <v>-70</v>
      </c>
      <c r="R26" s="19">
        <v>-25</v>
      </c>
      <c r="S26" s="89">
        <v>18</v>
      </c>
      <c r="T26" s="89">
        <f>-94-R26-S26</f>
        <v>-87</v>
      </c>
      <c r="U26" s="89">
        <f>-58-T26-S26-R26</f>
        <v>36</v>
      </c>
      <c r="V26" s="28">
        <f t="shared" si="17"/>
        <v>-58</v>
      </c>
      <c r="W26" s="19">
        <v>-12</v>
      </c>
      <c r="X26" s="89">
        <f>-17-W26</f>
        <v>-5</v>
      </c>
      <c r="Y26" s="89">
        <f>-146-X26-W26</f>
        <v>-129</v>
      </c>
      <c r="Z26" s="89">
        <f>-120-Y26-X26-W26</f>
        <v>26</v>
      </c>
      <c r="AA26" s="28">
        <f t="shared" si="18"/>
        <v>-120</v>
      </c>
      <c r="AB26" s="19">
        <v>-17</v>
      </c>
      <c r="AC26" s="19">
        <v>85</v>
      </c>
      <c r="AD26" s="19">
        <f>-54+1</f>
        <v>-53</v>
      </c>
      <c r="AE26" s="19">
        <v>56</v>
      </c>
      <c r="AF26" s="28">
        <f>SUM(AB26:AE26)-1</f>
        <v>70</v>
      </c>
      <c r="AG26" s="19">
        <v>13</v>
      </c>
      <c r="AH26" s="19">
        <f>44-AG26</f>
        <v>31</v>
      </c>
      <c r="AI26" s="19">
        <f>4-AH26-AG26</f>
        <v>-40</v>
      </c>
      <c r="AJ26" s="19">
        <f>-90-AI26-AH26-AG26</f>
        <v>-94</v>
      </c>
      <c r="AK26" s="28">
        <f t="shared" si="19"/>
        <v>-90</v>
      </c>
      <c r="AL26" s="19">
        <v>42</v>
      </c>
      <c r="AM26" s="19">
        <f>-40-AL26</f>
        <v>-82</v>
      </c>
      <c r="AN26" s="19">
        <f>-159-AM26-AL26</f>
        <v>-119</v>
      </c>
      <c r="AO26" s="19">
        <f>-225-AN26-AM26-AL26</f>
        <v>-66</v>
      </c>
      <c r="AP26" s="28">
        <f t="shared" si="20"/>
        <v>-225</v>
      </c>
      <c r="AQ26" s="19">
        <v>-165</v>
      </c>
      <c r="AR26" s="19">
        <f>-159-AQ26</f>
        <v>6</v>
      </c>
      <c r="AS26" s="19">
        <f>-311-AR26-AQ26</f>
        <v>-152</v>
      </c>
      <c r="AT26" s="19">
        <f>-404-AS26-AR26-AQ26</f>
        <v>-93</v>
      </c>
      <c r="AU26" s="28">
        <f t="shared" si="21"/>
        <v>-404</v>
      </c>
      <c r="AV26" s="19">
        <v>-19</v>
      </c>
      <c r="AW26" s="19">
        <f>-33-AV26</f>
        <v>-14</v>
      </c>
      <c r="AX26" s="19">
        <f>-83-SUM(AV26:AW26)</f>
        <v>-50</v>
      </c>
      <c r="AY26" s="19">
        <f>-151-SUM(AV26:AX26)</f>
        <v>-68</v>
      </c>
      <c r="AZ26" s="28">
        <f t="shared" si="22"/>
        <v>-151</v>
      </c>
      <c r="BA26" s="19">
        <v>-20</v>
      </c>
      <c r="BB26" s="19">
        <f>-25-BA26</f>
        <v>-5</v>
      </c>
      <c r="BC26" s="19">
        <f>24-BB26-BA26</f>
        <v>49</v>
      </c>
      <c r="BD26" s="19">
        <f>-157-SUM(BA26:BC26)</f>
        <v>-181</v>
      </c>
      <c r="BE26" s="28">
        <f t="shared" si="23"/>
        <v>-157</v>
      </c>
      <c r="BF26" s="19">
        <v>83</v>
      </c>
      <c r="BG26" s="19">
        <f>-8-BF26+1</f>
        <v>-90</v>
      </c>
      <c r="BH26" s="19">
        <f>-167-BF26-BG26</f>
        <v>-160</v>
      </c>
      <c r="BI26" s="19">
        <f>-260-BH26-BG26-BF26</f>
        <v>-93</v>
      </c>
      <c r="BJ26" s="28">
        <f>SUM(BF26:BI26)</f>
        <v>-260</v>
      </c>
      <c r="BK26" s="19">
        <v>14</v>
      </c>
      <c r="BL26" s="19">
        <f t="shared" ref="BL26:BL31" si="24">BO26-BK26</f>
        <v>18</v>
      </c>
      <c r="BM26" s="19"/>
      <c r="BN26" s="19"/>
      <c r="BO26" s="28">
        <v>32</v>
      </c>
    </row>
    <row r="27" spans="2:67">
      <c r="B27" s="88" t="s">
        <v>250</v>
      </c>
      <c r="C27" s="89">
        <v>-26</v>
      </c>
      <c r="D27" s="89">
        <f>-23-C27</f>
        <v>3</v>
      </c>
      <c r="E27" s="89">
        <v>3</v>
      </c>
      <c r="F27" s="90">
        <v>14</v>
      </c>
      <c r="G27" s="28">
        <f t="shared" si="14"/>
        <v>-6</v>
      </c>
      <c r="H27" s="89">
        <v>0</v>
      </c>
      <c r="I27" s="89">
        <f>-92-H27</f>
        <v>-92</v>
      </c>
      <c r="J27" s="89">
        <f>-19-H27-I27</f>
        <v>73</v>
      </c>
      <c r="K27" s="90">
        <f>-27-H27-I27-J27</f>
        <v>-8</v>
      </c>
      <c r="L27" s="28">
        <f t="shared" si="15"/>
        <v>-27</v>
      </c>
      <c r="M27" s="89">
        <v>0</v>
      </c>
      <c r="N27" s="89">
        <v>0</v>
      </c>
      <c r="O27" s="89">
        <v>0</v>
      </c>
      <c r="P27" s="89">
        <v>0</v>
      </c>
      <c r="Q27" s="28">
        <f t="shared" si="16"/>
        <v>0</v>
      </c>
      <c r="R27" s="19">
        <v>0</v>
      </c>
      <c r="S27" s="89">
        <v>0</v>
      </c>
      <c r="T27" s="89">
        <v>0</v>
      </c>
      <c r="U27" s="89">
        <v>0</v>
      </c>
      <c r="V27" s="28">
        <f t="shared" si="17"/>
        <v>0</v>
      </c>
      <c r="W27" s="19">
        <v>0</v>
      </c>
      <c r="X27" s="89">
        <v>0</v>
      </c>
      <c r="Y27" s="89">
        <v>0</v>
      </c>
      <c r="Z27" s="89">
        <v>0</v>
      </c>
      <c r="AA27" s="28">
        <f t="shared" si="18"/>
        <v>0</v>
      </c>
      <c r="AB27" s="19">
        <v>0</v>
      </c>
      <c r="AC27" s="19">
        <v>0</v>
      </c>
      <c r="AD27" s="19">
        <v>0</v>
      </c>
      <c r="AE27" s="19">
        <v>0</v>
      </c>
      <c r="AF27" s="28">
        <f>SUM(AB27:AE27)</f>
        <v>0</v>
      </c>
      <c r="AG27" s="19">
        <v>0</v>
      </c>
      <c r="AH27" s="19">
        <v>0</v>
      </c>
      <c r="AI27" s="19">
        <v>0</v>
      </c>
      <c r="AJ27" s="19">
        <v>0</v>
      </c>
      <c r="AK27" s="28">
        <f t="shared" si="19"/>
        <v>0</v>
      </c>
      <c r="AL27" s="19">
        <v>0</v>
      </c>
      <c r="AM27" s="19">
        <v>0</v>
      </c>
      <c r="AN27" s="19">
        <v>0</v>
      </c>
      <c r="AO27" s="19">
        <v>0</v>
      </c>
      <c r="AP27" s="28">
        <f t="shared" si="20"/>
        <v>0</v>
      </c>
      <c r="AQ27" s="19">
        <v>0</v>
      </c>
      <c r="AR27" s="19">
        <v>0</v>
      </c>
      <c r="AS27" s="19">
        <v>0</v>
      </c>
      <c r="AT27" s="19">
        <v>0</v>
      </c>
      <c r="AU27" s="28">
        <f t="shared" si="21"/>
        <v>0</v>
      </c>
      <c r="AV27" s="19">
        <v>0</v>
      </c>
      <c r="AW27" s="19">
        <v>0</v>
      </c>
      <c r="AX27" s="19">
        <v>0</v>
      </c>
      <c r="AY27" s="19">
        <v>0</v>
      </c>
      <c r="AZ27" s="28">
        <f t="shared" si="22"/>
        <v>0</v>
      </c>
      <c r="BA27" s="19">
        <v>0</v>
      </c>
      <c r="BB27" s="19">
        <v>0</v>
      </c>
      <c r="BC27" s="19">
        <v>0</v>
      </c>
      <c r="BD27" s="19">
        <v>0</v>
      </c>
      <c r="BE27" s="28">
        <f t="shared" si="23"/>
        <v>0</v>
      </c>
      <c r="BF27" s="19">
        <v>0</v>
      </c>
      <c r="BG27" s="19">
        <v>0</v>
      </c>
      <c r="BH27" s="19">
        <v>0</v>
      </c>
      <c r="BI27" s="19">
        <v>0</v>
      </c>
      <c r="BJ27" s="28">
        <f t="shared" si="11"/>
        <v>0</v>
      </c>
      <c r="BK27" s="19">
        <v>0</v>
      </c>
      <c r="BL27" s="19">
        <f t="shared" si="24"/>
        <v>0</v>
      </c>
      <c r="BM27" s="19"/>
      <c r="BN27" s="19"/>
      <c r="BO27" s="28">
        <v>0</v>
      </c>
    </row>
    <row r="28" spans="2:67">
      <c r="B28" s="88" t="s">
        <v>137</v>
      </c>
      <c r="C28" s="89">
        <v>-9</v>
      </c>
      <c r="D28" s="89">
        <f>-3-C28</f>
        <v>6</v>
      </c>
      <c r="E28" s="89">
        <v>6</v>
      </c>
      <c r="F28" s="90">
        <v>-6</v>
      </c>
      <c r="G28" s="28">
        <f t="shared" si="14"/>
        <v>-3</v>
      </c>
      <c r="H28" s="89">
        <v>8</v>
      </c>
      <c r="I28" s="89">
        <f>-5-H28</f>
        <v>-13</v>
      </c>
      <c r="J28" s="89">
        <f>-2-H28-I28</f>
        <v>3</v>
      </c>
      <c r="K28" s="90">
        <f>37-H28-I28-J28</f>
        <v>39</v>
      </c>
      <c r="L28" s="28">
        <f t="shared" si="15"/>
        <v>37</v>
      </c>
      <c r="M28" s="89">
        <v>-18</v>
      </c>
      <c r="N28" s="89">
        <f>-12-M28</f>
        <v>6</v>
      </c>
      <c r="O28" s="89">
        <f>-8-N28-M28</f>
        <v>4</v>
      </c>
      <c r="P28" s="89">
        <v>5</v>
      </c>
      <c r="Q28" s="28">
        <f t="shared" si="16"/>
        <v>-3</v>
      </c>
      <c r="R28" s="89">
        <v>-17</v>
      </c>
      <c r="S28" s="89">
        <v>42</v>
      </c>
      <c r="T28" s="89">
        <f>20-R28-S28</f>
        <v>-5</v>
      </c>
      <c r="U28" s="89">
        <f>51-T28-S28-R28</f>
        <v>31</v>
      </c>
      <c r="V28" s="28">
        <f t="shared" si="17"/>
        <v>51</v>
      </c>
      <c r="W28" s="19">
        <v>14</v>
      </c>
      <c r="X28" s="89">
        <f>71-W28</f>
        <v>57</v>
      </c>
      <c r="Y28" s="89">
        <f>112-X28-W28</f>
        <v>41</v>
      </c>
      <c r="Z28" s="89">
        <f>131-Y28-X28-W28</f>
        <v>19</v>
      </c>
      <c r="AA28" s="28">
        <f t="shared" si="18"/>
        <v>131</v>
      </c>
      <c r="AB28" s="19">
        <v>-147</v>
      </c>
      <c r="AC28" s="19">
        <v>-6</v>
      </c>
      <c r="AD28" s="19">
        <v>-36</v>
      </c>
      <c r="AE28" s="19">
        <v>137</v>
      </c>
      <c r="AF28" s="28">
        <f>SUM(AB28:AE28)</f>
        <v>-52</v>
      </c>
      <c r="AG28" s="19">
        <v>-12</v>
      </c>
      <c r="AH28" s="19">
        <f>-64-AG28</f>
        <v>-52</v>
      </c>
      <c r="AI28" s="19">
        <f>-55-AH28-AG28</f>
        <v>9</v>
      </c>
      <c r="AJ28" s="19">
        <f>-33-AI28-AH28-AG28</f>
        <v>22</v>
      </c>
      <c r="AK28" s="28">
        <f t="shared" si="19"/>
        <v>-33</v>
      </c>
      <c r="AL28" s="19">
        <v>3</v>
      </c>
      <c r="AM28" s="19">
        <f>47-AL28</f>
        <v>44</v>
      </c>
      <c r="AN28" s="19">
        <f>150-AM28-AL28</f>
        <v>103</v>
      </c>
      <c r="AO28" s="19">
        <f>200-AN28-AM28-AL28</f>
        <v>50</v>
      </c>
      <c r="AP28" s="28">
        <f t="shared" si="20"/>
        <v>200</v>
      </c>
      <c r="AQ28" s="19">
        <v>-24</v>
      </c>
      <c r="AR28" s="19">
        <f>-1-AQ28</f>
        <v>23</v>
      </c>
      <c r="AS28" s="19">
        <f>80-AR28-AQ28</f>
        <v>81</v>
      </c>
      <c r="AT28" s="19">
        <f>-35-AS28-AR28-AQ28</f>
        <v>-115</v>
      </c>
      <c r="AU28" s="28">
        <f t="shared" si="21"/>
        <v>-35</v>
      </c>
      <c r="AV28" s="19">
        <v>-13</v>
      </c>
      <c r="AW28" s="19">
        <f>-80-AV28</f>
        <v>-67</v>
      </c>
      <c r="AX28" s="19">
        <f>-5-SUM(AV28:AW28)</f>
        <v>75</v>
      </c>
      <c r="AY28" s="19">
        <f>11-SUM(AV28:AX28)</f>
        <v>16</v>
      </c>
      <c r="AZ28" s="28">
        <f t="shared" si="22"/>
        <v>11</v>
      </c>
      <c r="BA28" s="19">
        <v>-33</v>
      </c>
      <c r="BB28" s="19">
        <f>-18-BA28</f>
        <v>15</v>
      </c>
      <c r="BC28" s="19">
        <f>-37-BB28-BA28</f>
        <v>-19</v>
      </c>
      <c r="BD28" s="19">
        <f>21-SUM(BA28:BC28)</f>
        <v>58</v>
      </c>
      <c r="BE28" s="28">
        <f t="shared" si="23"/>
        <v>21</v>
      </c>
      <c r="BF28" s="19">
        <v>-79</v>
      </c>
      <c r="BG28" s="19">
        <f>-52-BF28</f>
        <v>27</v>
      </c>
      <c r="BH28" s="19">
        <f>61-BF28-BG28</f>
        <v>113</v>
      </c>
      <c r="BI28" s="19">
        <f>-3-BH28-BG28-BF28</f>
        <v>-64</v>
      </c>
      <c r="BJ28" s="28">
        <f t="shared" si="11"/>
        <v>-3</v>
      </c>
      <c r="BK28" s="19">
        <v>-39</v>
      </c>
      <c r="BL28" s="19">
        <f t="shared" si="24"/>
        <v>1</v>
      </c>
      <c r="BM28" s="19"/>
      <c r="BN28" s="19"/>
      <c r="BO28" s="28">
        <v>-38</v>
      </c>
    </row>
    <row r="29" spans="2:67">
      <c r="B29" s="88" t="s">
        <v>140</v>
      </c>
      <c r="C29" s="89">
        <v>0</v>
      </c>
      <c r="D29" s="89">
        <f>-3-C29</f>
        <v>-3</v>
      </c>
      <c r="E29" s="89">
        <v>0</v>
      </c>
      <c r="F29" s="90">
        <v>1</v>
      </c>
      <c r="G29" s="28">
        <f t="shared" si="14"/>
        <v>-2</v>
      </c>
      <c r="H29" s="89">
        <v>-1</v>
      </c>
      <c r="I29" s="89">
        <f>-1-H29</f>
        <v>0</v>
      </c>
      <c r="J29" s="89">
        <f>1-H29-I29</f>
        <v>2</v>
      </c>
      <c r="K29" s="90">
        <f>0-H29-I29-J29</f>
        <v>-1</v>
      </c>
      <c r="L29" s="28">
        <f t="shared" si="15"/>
        <v>0</v>
      </c>
      <c r="M29" s="89">
        <v>0</v>
      </c>
      <c r="N29" s="89">
        <f>-3-M29</f>
        <v>-3</v>
      </c>
      <c r="O29" s="89">
        <f>0-N29-M29</f>
        <v>3</v>
      </c>
      <c r="P29" s="89">
        <v>1</v>
      </c>
      <c r="Q29" s="28">
        <f t="shared" si="16"/>
        <v>1</v>
      </c>
      <c r="R29" s="89">
        <v>-3</v>
      </c>
      <c r="S29" s="89">
        <v>0</v>
      </c>
      <c r="T29" s="89">
        <f>18-R29-S29</f>
        <v>21</v>
      </c>
      <c r="U29" s="89">
        <f>1-T29-S29-R29</f>
        <v>-17</v>
      </c>
      <c r="V29" s="28">
        <f t="shared" si="17"/>
        <v>1</v>
      </c>
      <c r="W29" s="89">
        <v>22</v>
      </c>
      <c r="X29" s="89">
        <f>7-W29</f>
        <v>-15</v>
      </c>
      <c r="Y29" s="89">
        <f>-1-X29-W29</f>
        <v>-8</v>
      </c>
      <c r="Z29" s="89">
        <f>-2-Y29-X29-W29</f>
        <v>-1</v>
      </c>
      <c r="AA29" s="28">
        <f t="shared" si="18"/>
        <v>-2</v>
      </c>
      <c r="AB29" s="89">
        <v>0</v>
      </c>
      <c r="AC29" s="89">
        <v>-2</v>
      </c>
      <c r="AD29" s="89">
        <v>1</v>
      </c>
      <c r="AE29" s="19">
        <v>-1</v>
      </c>
      <c r="AF29" s="28">
        <f>SUM(AB29:AE29)</f>
        <v>-2</v>
      </c>
      <c r="AG29" s="89">
        <v>0</v>
      </c>
      <c r="AH29" s="89">
        <v>0</v>
      </c>
      <c r="AI29" s="89">
        <v>0</v>
      </c>
      <c r="AJ29" s="19">
        <v>0</v>
      </c>
      <c r="AK29" s="28">
        <f t="shared" si="19"/>
        <v>0</v>
      </c>
      <c r="AL29" s="89">
        <v>0</v>
      </c>
      <c r="AM29" s="89">
        <v>0</v>
      </c>
      <c r="AN29" s="89">
        <v>0</v>
      </c>
      <c r="AO29" s="19">
        <v>0</v>
      </c>
      <c r="AP29" s="28">
        <f t="shared" si="20"/>
        <v>0</v>
      </c>
      <c r="AQ29" s="89">
        <v>0</v>
      </c>
      <c r="AR29" s="89">
        <v>0</v>
      </c>
      <c r="AS29" s="89">
        <v>0</v>
      </c>
      <c r="AT29" s="19">
        <v>0</v>
      </c>
      <c r="AU29" s="28">
        <f t="shared" si="21"/>
        <v>0</v>
      </c>
      <c r="AV29" s="89">
        <v>0</v>
      </c>
      <c r="AW29" s="89">
        <v>0</v>
      </c>
      <c r="AX29" s="89">
        <v>0</v>
      </c>
      <c r="AY29" s="19">
        <v>0</v>
      </c>
      <c r="AZ29" s="28">
        <f t="shared" si="22"/>
        <v>0</v>
      </c>
      <c r="BA29" s="89">
        <v>0</v>
      </c>
      <c r="BB29" s="89">
        <v>0</v>
      </c>
      <c r="BC29" s="89">
        <v>0</v>
      </c>
      <c r="BD29" s="89">
        <v>0</v>
      </c>
      <c r="BE29" s="28">
        <f t="shared" si="23"/>
        <v>0</v>
      </c>
      <c r="BF29" s="89">
        <v>0</v>
      </c>
      <c r="BG29" s="89">
        <v>0</v>
      </c>
      <c r="BH29" s="89">
        <v>0</v>
      </c>
      <c r="BI29" s="89">
        <v>0</v>
      </c>
      <c r="BJ29" s="28">
        <f t="shared" si="11"/>
        <v>0</v>
      </c>
      <c r="BK29" s="89">
        <v>0</v>
      </c>
      <c r="BL29" s="89">
        <f t="shared" si="24"/>
        <v>0</v>
      </c>
      <c r="BM29" s="89"/>
      <c r="BN29" s="89"/>
      <c r="BO29" s="28">
        <v>0</v>
      </c>
    </row>
    <row r="30" spans="2:67">
      <c r="B30" s="88" t="s">
        <v>184</v>
      </c>
      <c r="C30" s="89">
        <v>33</v>
      </c>
      <c r="D30" s="89">
        <f>30-C30</f>
        <v>-3</v>
      </c>
      <c r="E30" s="89">
        <v>6</v>
      </c>
      <c r="F30" s="90">
        <v>9</v>
      </c>
      <c r="G30" s="28">
        <f t="shared" si="14"/>
        <v>45</v>
      </c>
      <c r="H30" s="89">
        <v>21</v>
      </c>
      <c r="I30" s="89">
        <f>9-H30</f>
        <v>-12</v>
      </c>
      <c r="J30" s="89">
        <f>52-H30-I30</f>
        <v>43</v>
      </c>
      <c r="K30" s="90">
        <f>43-H30-I30-J30</f>
        <v>-9</v>
      </c>
      <c r="L30" s="28">
        <f t="shared" si="15"/>
        <v>43</v>
      </c>
      <c r="M30" s="89">
        <v>31</v>
      </c>
      <c r="N30" s="89">
        <f>22-M30</f>
        <v>-9</v>
      </c>
      <c r="O30" s="89">
        <f>73-N30-M30</f>
        <v>51</v>
      </c>
      <c r="P30" s="89">
        <v>-7</v>
      </c>
      <c r="Q30" s="28">
        <f t="shared" si="16"/>
        <v>66</v>
      </c>
      <c r="R30" s="89">
        <v>35</v>
      </c>
      <c r="S30" s="89">
        <v>-1</v>
      </c>
      <c r="T30" s="89">
        <f>83-R30-S30</f>
        <v>49</v>
      </c>
      <c r="U30" s="89">
        <f>104-T30-S30-R30</f>
        <v>21</v>
      </c>
      <c r="V30" s="28">
        <f t="shared" si="17"/>
        <v>104</v>
      </c>
      <c r="W30" s="89">
        <v>2</v>
      </c>
      <c r="X30" s="89">
        <f>13-W30</f>
        <v>11</v>
      </c>
      <c r="Y30" s="89">
        <f>79-X30-W30</f>
        <v>66</v>
      </c>
      <c r="Z30" s="89">
        <f>48-Y30-X30-W30</f>
        <v>-31</v>
      </c>
      <c r="AA30" s="28">
        <f t="shared" si="18"/>
        <v>48</v>
      </c>
      <c r="AB30" s="89">
        <v>-1</v>
      </c>
      <c r="AC30" s="89">
        <v>-15</v>
      </c>
      <c r="AD30" s="89">
        <v>59</v>
      </c>
      <c r="AE30" s="89">
        <v>-22</v>
      </c>
      <c r="AF30" s="28">
        <f>SUM(AB30:AE30)</f>
        <v>21</v>
      </c>
      <c r="AG30" s="89">
        <v>15</v>
      </c>
      <c r="AH30" s="89">
        <f>47-AG30</f>
        <v>32</v>
      </c>
      <c r="AI30" s="89">
        <f>127-AH30-AG30</f>
        <v>80</v>
      </c>
      <c r="AJ30" s="89">
        <f>138-AI30-AH30-AG30</f>
        <v>11</v>
      </c>
      <c r="AK30" s="28">
        <f t="shared" si="19"/>
        <v>138</v>
      </c>
      <c r="AL30" s="89">
        <v>31</v>
      </c>
      <c r="AM30" s="89">
        <f>47-AL30</f>
        <v>16</v>
      </c>
      <c r="AN30" s="89">
        <f>282-AM30-AL30</f>
        <v>235</v>
      </c>
      <c r="AO30" s="89">
        <f>299-AN30-AM30-AL30</f>
        <v>17</v>
      </c>
      <c r="AP30" s="28">
        <f t="shared" si="20"/>
        <v>299</v>
      </c>
      <c r="AQ30" s="89">
        <v>-1</v>
      </c>
      <c r="AR30" s="89">
        <f>79-AQ30</f>
        <v>80</v>
      </c>
      <c r="AS30" s="89">
        <f>98-AR30-AQ30</f>
        <v>19</v>
      </c>
      <c r="AT30" s="89">
        <f>103-AS30-AR30-AQ30</f>
        <v>5</v>
      </c>
      <c r="AU30" s="28">
        <f t="shared" si="21"/>
        <v>103</v>
      </c>
      <c r="AV30" s="89">
        <v>20</v>
      </c>
      <c r="AW30" s="89">
        <f>-18-AV30</f>
        <v>-38</v>
      </c>
      <c r="AX30" s="89">
        <f>61-SUM(AV30:AW30)</f>
        <v>79</v>
      </c>
      <c r="AY30" s="89">
        <f>21-SUM(AV30:AX30)</f>
        <v>-40</v>
      </c>
      <c r="AZ30" s="28">
        <f t="shared" si="22"/>
        <v>21</v>
      </c>
      <c r="BA30" s="89">
        <v>-46</v>
      </c>
      <c r="BB30" s="89">
        <f>-16-BA30</f>
        <v>30</v>
      </c>
      <c r="BC30" s="89">
        <f>132-BB30-BA30</f>
        <v>148</v>
      </c>
      <c r="BD30" s="89">
        <f>135-SUM(BA30:BC30)</f>
        <v>3</v>
      </c>
      <c r="BE30" s="28">
        <f t="shared" si="23"/>
        <v>135</v>
      </c>
      <c r="BF30" s="89">
        <v>2</v>
      </c>
      <c r="BG30" s="89">
        <f>59-BF30</f>
        <v>57</v>
      </c>
      <c r="BH30" s="89">
        <f>297-BF30-BG30</f>
        <v>238</v>
      </c>
      <c r="BI30" s="89">
        <f>349-BH30-BG30-BF30</f>
        <v>52</v>
      </c>
      <c r="BJ30" s="28">
        <f t="shared" si="11"/>
        <v>349</v>
      </c>
      <c r="BK30" s="89">
        <v>-28</v>
      </c>
      <c r="BL30" s="89">
        <f t="shared" si="24"/>
        <v>24</v>
      </c>
      <c r="BM30" s="89"/>
      <c r="BN30" s="89"/>
      <c r="BO30" s="28">
        <v>-4</v>
      </c>
    </row>
    <row r="31" spans="2:67" ht="13.5">
      <c r="B31" s="88" t="s">
        <v>185</v>
      </c>
      <c r="C31" s="150">
        <v>27</v>
      </c>
      <c r="D31" s="150">
        <f>130-C31</f>
        <v>103</v>
      </c>
      <c r="E31" s="150">
        <v>34</v>
      </c>
      <c r="F31" s="153">
        <v>-61</v>
      </c>
      <c r="G31" s="105">
        <f t="shared" si="14"/>
        <v>103</v>
      </c>
      <c r="H31" s="150">
        <v>62</v>
      </c>
      <c r="I31" s="150">
        <f>198-H31</f>
        <v>136</v>
      </c>
      <c r="J31" s="150">
        <f>78-H31-I31</f>
        <v>-120</v>
      </c>
      <c r="K31" s="153">
        <f>48-H31-I31-J31</f>
        <v>-30</v>
      </c>
      <c r="L31" s="105">
        <f t="shared" si="15"/>
        <v>48</v>
      </c>
      <c r="M31" s="150">
        <v>18</v>
      </c>
      <c r="N31" s="150">
        <f>14-M31</f>
        <v>-4</v>
      </c>
      <c r="O31" s="150">
        <f>93-N31-M31</f>
        <v>79</v>
      </c>
      <c r="P31" s="150">
        <v>-117</v>
      </c>
      <c r="Q31" s="105">
        <f t="shared" si="16"/>
        <v>-24</v>
      </c>
      <c r="R31" s="150">
        <v>121</v>
      </c>
      <c r="S31" s="150">
        <v>-19</v>
      </c>
      <c r="T31" s="150">
        <f>102-R31-S31</f>
        <v>0</v>
      </c>
      <c r="U31" s="150">
        <f>122-T31-S31-R31</f>
        <v>20</v>
      </c>
      <c r="V31" s="105">
        <f t="shared" si="17"/>
        <v>122</v>
      </c>
      <c r="W31" s="150">
        <v>131</v>
      </c>
      <c r="X31" s="150">
        <f>229-W31</f>
        <v>98</v>
      </c>
      <c r="Y31" s="150">
        <f>200-X31-W31</f>
        <v>-29</v>
      </c>
      <c r="Z31" s="150">
        <f>269-Y31-X31-W31</f>
        <v>69</v>
      </c>
      <c r="AA31" s="105">
        <f t="shared" si="18"/>
        <v>269</v>
      </c>
      <c r="AB31" s="150">
        <v>175</v>
      </c>
      <c r="AC31" s="150">
        <v>-25</v>
      </c>
      <c r="AD31" s="150">
        <f>92</f>
        <v>92</v>
      </c>
      <c r="AE31" s="150">
        <v>-9</v>
      </c>
      <c r="AF31" s="105">
        <f>SUM(AB31:AE31)</f>
        <v>233</v>
      </c>
      <c r="AG31" s="150">
        <v>37</v>
      </c>
      <c r="AH31" s="150">
        <f>56-AG31</f>
        <v>19</v>
      </c>
      <c r="AI31" s="150">
        <f>190-AH31-AG31</f>
        <v>134</v>
      </c>
      <c r="AJ31" s="150">
        <f>319-AI31-AH31-AG31</f>
        <v>129</v>
      </c>
      <c r="AK31" s="105">
        <f t="shared" si="19"/>
        <v>319</v>
      </c>
      <c r="AL31" s="150">
        <v>228</v>
      </c>
      <c r="AM31" s="150">
        <f>326-AL31</f>
        <v>98</v>
      </c>
      <c r="AN31" s="150">
        <f>408-AM31-AL31</f>
        <v>82</v>
      </c>
      <c r="AO31" s="150">
        <f>632-AN31-AM31-AL31</f>
        <v>224</v>
      </c>
      <c r="AP31" s="105">
        <f t="shared" si="20"/>
        <v>632</v>
      </c>
      <c r="AQ31" s="150">
        <v>317</v>
      </c>
      <c r="AR31" s="150">
        <f>328-AQ31-1</f>
        <v>10</v>
      </c>
      <c r="AS31" s="150">
        <f>308-AR31-AQ31</f>
        <v>-19</v>
      </c>
      <c r="AT31" s="150">
        <f>407-AS31-AR31-AQ31</f>
        <v>99</v>
      </c>
      <c r="AU31" s="105">
        <f>SUM(AQ31:AT31)</f>
        <v>407</v>
      </c>
      <c r="AV31" s="150">
        <v>-241</v>
      </c>
      <c r="AW31" s="150">
        <f>-75-AV31</f>
        <v>166</v>
      </c>
      <c r="AX31" s="150">
        <f>-183-SUM(AV31:AW31)</f>
        <v>-108</v>
      </c>
      <c r="AY31" s="150">
        <f>-182-SUM(AV31:AX31)</f>
        <v>1</v>
      </c>
      <c r="AZ31" s="105">
        <f>SUM(AV31:AY31)</f>
        <v>-182</v>
      </c>
      <c r="BA31" s="150">
        <v>0</v>
      </c>
      <c r="BB31" s="150">
        <f>146-BA31</f>
        <v>146</v>
      </c>
      <c r="BC31" s="150">
        <f>78-BB31-BA31</f>
        <v>-68</v>
      </c>
      <c r="BD31" s="150">
        <f>140-SUM(BA31:BC31)</f>
        <v>62</v>
      </c>
      <c r="BE31" s="105">
        <f>SUM(BA31:BD31)</f>
        <v>140</v>
      </c>
      <c r="BF31" s="150">
        <v>95</v>
      </c>
      <c r="BG31" s="150">
        <f>279-BF31</f>
        <v>184</v>
      </c>
      <c r="BH31" s="150">
        <f>299-BF31-BG31</f>
        <v>20</v>
      </c>
      <c r="BI31" s="150">
        <f>238-BH31-BG31-BF31</f>
        <v>-61</v>
      </c>
      <c r="BJ31" s="105">
        <f t="shared" si="11"/>
        <v>238</v>
      </c>
      <c r="BK31" s="150">
        <v>-102</v>
      </c>
      <c r="BL31" s="150">
        <f t="shared" si="24"/>
        <v>34</v>
      </c>
      <c r="BM31" s="150"/>
      <c r="BN31" s="150"/>
      <c r="BO31" s="105">
        <v>-68</v>
      </c>
    </row>
    <row r="32" spans="2:67">
      <c r="B32" s="88"/>
      <c r="C32" s="89"/>
      <c r="D32" s="89"/>
      <c r="E32" s="89"/>
      <c r="F32" s="90"/>
      <c r="G32" s="28"/>
      <c r="H32" s="89"/>
      <c r="I32" s="89"/>
      <c r="J32" s="89"/>
      <c r="K32" s="90"/>
      <c r="L32" s="28"/>
      <c r="M32" s="89"/>
      <c r="N32" s="89"/>
      <c r="O32" s="89"/>
      <c r="P32" s="89"/>
      <c r="Q32" s="28"/>
      <c r="R32" s="89"/>
      <c r="S32" s="89"/>
      <c r="T32" s="89"/>
      <c r="U32" s="89"/>
      <c r="V32" s="28"/>
      <c r="W32" s="89"/>
      <c r="X32" s="89"/>
      <c r="Y32" s="89"/>
      <c r="Z32" s="89"/>
      <c r="AA32" s="28"/>
      <c r="AB32" s="89"/>
      <c r="AC32" s="89"/>
      <c r="AD32" s="89"/>
      <c r="AE32" s="89"/>
      <c r="AF32" s="28"/>
      <c r="AG32" s="89"/>
      <c r="AH32" s="89"/>
      <c r="AI32" s="89"/>
      <c r="AJ32" s="89"/>
      <c r="AK32" s="28"/>
      <c r="AL32" s="89"/>
      <c r="AM32" s="89"/>
      <c r="AN32" s="89"/>
      <c r="AO32" s="89"/>
      <c r="AP32" s="28"/>
      <c r="AQ32" s="89"/>
      <c r="AR32" s="89"/>
      <c r="AS32" s="89"/>
      <c r="AT32" s="89"/>
      <c r="AU32" s="28"/>
      <c r="AV32" s="89"/>
      <c r="AW32" s="89"/>
      <c r="AX32" s="89"/>
      <c r="AY32" s="89"/>
      <c r="AZ32" s="28"/>
      <c r="BA32" s="89"/>
      <c r="BB32" s="89"/>
      <c r="BC32" s="89"/>
      <c r="BD32" s="89"/>
      <c r="BE32" s="28"/>
      <c r="BF32" s="89"/>
      <c r="BG32" s="89"/>
      <c r="BH32" s="89"/>
      <c r="BI32" s="89"/>
      <c r="BJ32" s="28"/>
      <c r="BK32" s="89"/>
      <c r="BL32" s="89"/>
      <c r="BM32" s="89"/>
      <c r="BN32" s="89"/>
      <c r="BO32" s="28"/>
    </row>
    <row r="33" spans="2:67" s="39" customFormat="1">
      <c r="B33" s="92" t="s">
        <v>186</v>
      </c>
      <c r="C33" s="93">
        <f>SUM(C7:C31)</f>
        <v>579</v>
      </c>
      <c r="D33" s="93">
        <f>SUM(D7:D31)</f>
        <v>918</v>
      </c>
      <c r="E33" s="93">
        <f>SUM(E7:E31)</f>
        <v>825</v>
      </c>
      <c r="F33" s="93">
        <f>SUM(F7:F31)</f>
        <v>536</v>
      </c>
      <c r="G33" s="24">
        <f>SUM(C33:F33)</f>
        <v>2858</v>
      </c>
      <c r="H33" s="93">
        <f>SUM(H7:H31)</f>
        <v>550</v>
      </c>
      <c r="I33" s="93">
        <f>SUM(I7:I31)</f>
        <v>719</v>
      </c>
      <c r="J33" s="93">
        <f>SUM(J7:J31)</f>
        <v>705</v>
      </c>
      <c r="K33" s="93">
        <f>SUM(K7:K31)</f>
        <v>780</v>
      </c>
      <c r="L33" s="24">
        <f>SUM(H33:K33)</f>
        <v>2754</v>
      </c>
      <c r="M33" s="93">
        <f>SUM(M7:M31)</f>
        <v>563</v>
      </c>
      <c r="N33" s="93">
        <f>SUM(N7:N31)</f>
        <v>815</v>
      </c>
      <c r="O33" s="93">
        <f>SUM(O7:O31)</f>
        <v>772</v>
      </c>
      <c r="P33" s="93">
        <f>SUM(P7:P31)</f>
        <v>792</v>
      </c>
      <c r="Q33" s="24">
        <f>SUM(M33:P33)</f>
        <v>2942</v>
      </c>
      <c r="R33" s="93">
        <f>SUM(R7:R31)</f>
        <v>831</v>
      </c>
      <c r="S33" s="93">
        <f>SUM(S7:S31)</f>
        <v>690</v>
      </c>
      <c r="T33" s="93">
        <f>SUM(T7:T31)</f>
        <v>967</v>
      </c>
      <c r="U33" s="93">
        <f>SUM(U7:U31)</f>
        <v>828</v>
      </c>
      <c r="V33" s="24">
        <f>SUM(R33:U33)</f>
        <v>3316</v>
      </c>
      <c r="W33" s="93">
        <f>SUM(W7:W31)</f>
        <v>842</v>
      </c>
      <c r="X33" s="93">
        <f>SUM(X7:X31)</f>
        <v>755</v>
      </c>
      <c r="Y33" s="93">
        <f>SUM(Y7:Y31)</f>
        <v>833</v>
      </c>
      <c r="Z33" s="93">
        <f>SUM(Z7:Z31)</f>
        <v>807</v>
      </c>
      <c r="AA33" s="24">
        <f>SUM(W33:Z33)</f>
        <v>3237</v>
      </c>
      <c r="AB33" s="93">
        <f t="shared" ref="AB33:AZ33" si="25">SUM(AB7:AB31)</f>
        <v>745</v>
      </c>
      <c r="AC33" s="93">
        <f t="shared" si="25"/>
        <v>793</v>
      </c>
      <c r="AD33" s="93">
        <f t="shared" si="25"/>
        <v>810</v>
      </c>
      <c r="AE33" s="93">
        <f t="shared" si="25"/>
        <v>902</v>
      </c>
      <c r="AF33" s="24">
        <f t="shared" si="25"/>
        <v>3250</v>
      </c>
      <c r="AG33" s="93">
        <f t="shared" si="25"/>
        <v>878</v>
      </c>
      <c r="AH33" s="93">
        <f t="shared" si="25"/>
        <v>1097</v>
      </c>
      <c r="AI33" s="93">
        <f t="shared" si="25"/>
        <v>1103</v>
      </c>
      <c r="AJ33" s="93">
        <f t="shared" si="25"/>
        <v>1043</v>
      </c>
      <c r="AK33" s="24">
        <f t="shared" si="25"/>
        <v>4121</v>
      </c>
      <c r="AL33" s="93">
        <f t="shared" si="25"/>
        <v>1090</v>
      </c>
      <c r="AM33" s="93">
        <f t="shared" si="25"/>
        <v>1108</v>
      </c>
      <c r="AN33" s="93">
        <f t="shared" si="25"/>
        <v>1079</v>
      </c>
      <c r="AO33" s="93">
        <f t="shared" si="25"/>
        <v>1088</v>
      </c>
      <c r="AP33" s="24">
        <f t="shared" si="25"/>
        <v>4365</v>
      </c>
      <c r="AQ33" s="93">
        <f t="shared" si="25"/>
        <v>915</v>
      </c>
      <c r="AR33" s="93">
        <f t="shared" si="25"/>
        <v>1020</v>
      </c>
      <c r="AS33" s="93">
        <f t="shared" si="25"/>
        <v>934</v>
      </c>
      <c r="AT33" s="93">
        <f t="shared" si="25"/>
        <v>1072</v>
      </c>
      <c r="AU33" s="24">
        <f t="shared" si="25"/>
        <v>3941</v>
      </c>
      <c r="AV33" s="93">
        <f t="shared" si="25"/>
        <v>966</v>
      </c>
      <c r="AW33" s="93">
        <f t="shared" si="25"/>
        <v>1111</v>
      </c>
      <c r="AX33" s="93">
        <f t="shared" si="25"/>
        <v>1021</v>
      </c>
      <c r="AY33" s="93">
        <f t="shared" si="25"/>
        <v>1164</v>
      </c>
      <c r="AZ33" s="24">
        <f t="shared" si="25"/>
        <v>4262</v>
      </c>
      <c r="BA33" s="93">
        <f t="shared" ref="BA33:BG33" si="26">SUM(BA7:BA31)</f>
        <v>1050</v>
      </c>
      <c r="BB33" s="93">
        <f t="shared" si="26"/>
        <v>1259</v>
      </c>
      <c r="BC33" s="93">
        <f t="shared" si="26"/>
        <v>1407</v>
      </c>
      <c r="BD33" s="93">
        <f t="shared" si="26"/>
        <v>1297</v>
      </c>
      <c r="BE33" s="24">
        <f t="shared" si="26"/>
        <v>5013</v>
      </c>
      <c r="BF33" s="93">
        <f t="shared" si="26"/>
        <v>1202</v>
      </c>
      <c r="BG33" s="93">
        <f t="shared" si="26"/>
        <v>1283</v>
      </c>
      <c r="BH33" s="93">
        <f>SUM(BH7:BH31)</f>
        <v>1338</v>
      </c>
      <c r="BI33" s="93">
        <f>SUM(BI7:BI31)</f>
        <v>1189</v>
      </c>
      <c r="BJ33" s="24">
        <f>SUM(BJ7:BJ31)</f>
        <v>5012</v>
      </c>
      <c r="BK33" s="93">
        <f>SUM(BK7:BK31)</f>
        <v>1259</v>
      </c>
      <c r="BL33" s="93">
        <f>SUM(BL7:BL31)</f>
        <v>1328</v>
      </c>
      <c r="BM33" s="93"/>
      <c r="BN33" s="93"/>
      <c r="BO33" s="24">
        <f>SUM(BO7:BO31)</f>
        <v>2587</v>
      </c>
    </row>
    <row r="34" spans="2:67">
      <c r="B34" s="291" t="s">
        <v>187</v>
      </c>
      <c r="C34" s="257">
        <v>-114</v>
      </c>
      <c r="D34" s="257">
        <f>-326-C34</f>
        <v>-212</v>
      </c>
      <c r="E34" s="257">
        <v>-216</v>
      </c>
      <c r="F34" s="258">
        <v>-560</v>
      </c>
      <c r="G34" s="52">
        <f>SUM(C34:F34)</f>
        <v>-1102</v>
      </c>
      <c r="H34" s="257">
        <v>-205</v>
      </c>
      <c r="I34" s="257">
        <f>-443-H34</f>
        <v>-238</v>
      </c>
      <c r="J34" s="257">
        <f>-674-H34-I34</f>
        <v>-231</v>
      </c>
      <c r="K34" s="258">
        <f>-892-H34-I34-J34</f>
        <v>-218</v>
      </c>
      <c r="L34" s="52">
        <f>SUM(H34:K34)</f>
        <v>-892</v>
      </c>
      <c r="M34" s="257">
        <v>-111</v>
      </c>
      <c r="N34" s="257">
        <f>-373-M34</f>
        <v>-262</v>
      </c>
      <c r="O34" s="257">
        <f>-598-N34-M34</f>
        <v>-225</v>
      </c>
      <c r="P34" s="257">
        <v>-245</v>
      </c>
      <c r="Q34" s="52">
        <f>SUM(M34:P34)</f>
        <v>-843</v>
      </c>
      <c r="R34" s="257">
        <v>-187</v>
      </c>
      <c r="S34" s="257">
        <v>-249</v>
      </c>
      <c r="T34" s="257">
        <f>-746-R34-S34</f>
        <v>-310</v>
      </c>
      <c r="U34" s="257">
        <f>-1059-T34-S34-R34</f>
        <v>-313</v>
      </c>
      <c r="V34" s="52">
        <f>SUM(R34:U34)</f>
        <v>-1059</v>
      </c>
      <c r="W34" s="257">
        <v>-211</v>
      </c>
      <c r="X34" s="257">
        <f>-528-W34</f>
        <v>-317</v>
      </c>
      <c r="Y34" s="257">
        <f>-751-X34-W34</f>
        <v>-223</v>
      </c>
      <c r="Z34" s="257">
        <f>-975-Y34-X34-W34</f>
        <v>-224</v>
      </c>
      <c r="AA34" s="52">
        <f>SUM(W34:Z34)</f>
        <v>-975</v>
      </c>
      <c r="AB34" s="257">
        <v>-115</v>
      </c>
      <c r="AC34" s="257">
        <v>-271</v>
      </c>
      <c r="AD34" s="257">
        <v>-35</v>
      </c>
      <c r="AE34" s="257">
        <v>-218</v>
      </c>
      <c r="AF34" s="52">
        <f>SUM(AB34:AE34)</f>
        <v>-639</v>
      </c>
      <c r="AG34" s="257">
        <v>-95</v>
      </c>
      <c r="AH34" s="257">
        <f>-399-AG34</f>
        <v>-304</v>
      </c>
      <c r="AI34" s="257">
        <f>-673-AH34-AG34</f>
        <v>-274</v>
      </c>
      <c r="AJ34" s="257">
        <f>-863-AI34-AH34-AG34</f>
        <v>-190</v>
      </c>
      <c r="AK34" s="52">
        <f>SUM(AG34:AJ34)</f>
        <v>-863</v>
      </c>
      <c r="AL34" s="257">
        <v>-158</v>
      </c>
      <c r="AM34" s="257">
        <f>-484-AL34</f>
        <v>-326</v>
      </c>
      <c r="AN34" s="257">
        <f>-777-AM34-AL34</f>
        <v>-293</v>
      </c>
      <c r="AO34" s="257">
        <f>-1020-AN34-AM34-AL34</f>
        <v>-243</v>
      </c>
      <c r="AP34" s="52">
        <f>SUM(AL34:AO34)</f>
        <v>-1020</v>
      </c>
      <c r="AQ34" s="257">
        <v>-170</v>
      </c>
      <c r="AR34" s="257">
        <f>-534-AQ34</f>
        <v>-364</v>
      </c>
      <c r="AS34" s="257">
        <f>-824-AR34-AQ34</f>
        <v>-290</v>
      </c>
      <c r="AT34" s="257">
        <f>-1088-AS34-AR34-AQ34</f>
        <v>-264</v>
      </c>
      <c r="AU34" s="52">
        <f>SUM(AQ34:AT34)</f>
        <v>-1088</v>
      </c>
      <c r="AV34" s="257">
        <v>-168</v>
      </c>
      <c r="AW34" s="257">
        <f>-550-AV34</f>
        <v>-382</v>
      </c>
      <c r="AX34" s="257">
        <f>-864-SUM(AV34:AW34)</f>
        <v>-314</v>
      </c>
      <c r="AY34" s="257">
        <f>-1114-SUM(AV34:AX34)</f>
        <v>-250</v>
      </c>
      <c r="AZ34" s="52">
        <f>SUM(AV34:AY34)</f>
        <v>-1114</v>
      </c>
      <c r="BA34" s="257">
        <v>100</v>
      </c>
      <c r="BB34" s="257">
        <f>-259-BA34</f>
        <v>-359</v>
      </c>
      <c r="BC34" s="257">
        <f>-341-BB34-BA34</f>
        <v>-82</v>
      </c>
      <c r="BD34" s="257">
        <f>-662-SUM(BA34:BC34)</f>
        <v>-321</v>
      </c>
      <c r="BE34" s="52">
        <f>SUM(BA34:BD34)</f>
        <v>-662</v>
      </c>
      <c r="BF34" s="257">
        <v>-219</v>
      </c>
      <c r="BG34" s="257">
        <f>-345-BF34</f>
        <v>-126</v>
      </c>
      <c r="BH34" s="257">
        <f>-721-BF34-BG34</f>
        <v>-376</v>
      </c>
      <c r="BI34" s="257">
        <f>-973-BH34-BG34-BF34</f>
        <v>-252</v>
      </c>
      <c r="BJ34" s="52">
        <f>SUM(BF34:BI34)</f>
        <v>-973</v>
      </c>
      <c r="BK34" s="257">
        <v>-223</v>
      </c>
      <c r="BL34" s="257">
        <f>BO34-BK34</f>
        <v>-314</v>
      </c>
      <c r="BM34" s="257"/>
      <c r="BN34" s="257"/>
      <c r="BO34" s="52">
        <v>-537</v>
      </c>
    </row>
    <row r="35" spans="2:67" s="39" customFormat="1">
      <c r="B35" s="92" t="s">
        <v>188</v>
      </c>
      <c r="C35" s="93">
        <f>SUM(C33:C34)</f>
        <v>465</v>
      </c>
      <c r="D35" s="93">
        <f>SUM(D33:D34)</f>
        <v>706</v>
      </c>
      <c r="E35" s="93">
        <f>SUM(E33:E34)</f>
        <v>609</v>
      </c>
      <c r="F35" s="93">
        <f>SUM(F33:F34)</f>
        <v>-24</v>
      </c>
      <c r="G35" s="24">
        <f>SUM(C35:F35)</f>
        <v>1756</v>
      </c>
      <c r="H35" s="93">
        <f>SUM(H33:H34)</f>
        <v>345</v>
      </c>
      <c r="I35" s="93">
        <f>SUM(I33:I34)</f>
        <v>481</v>
      </c>
      <c r="J35" s="93">
        <f>SUM(J33:J34)</f>
        <v>474</v>
      </c>
      <c r="K35" s="93">
        <f>SUM(K33:K34)</f>
        <v>562</v>
      </c>
      <c r="L35" s="24">
        <f>SUM(H35:K35)</f>
        <v>1862</v>
      </c>
      <c r="M35" s="93">
        <f>SUM(M33:M34)</f>
        <v>452</v>
      </c>
      <c r="N35" s="93">
        <f>SUM(N33:N34)</f>
        <v>553</v>
      </c>
      <c r="O35" s="93">
        <f>SUM(O33:O34)</f>
        <v>547</v>
      </c>
      <c r="P35" s="93">
        <f>SUM(P33:P34)</f>
        <v>547</v>
      </c>
      <c r="Q35" s="24">
        <f>SUM(M35:P35)</f>
        <v>2099</v>
      </c>
      <c r="R35" s="93">
        <f>SUM(R33:R34)</f>
        <v>644</v>
      </c>
      <c r="S35" s="93">
        <f>SUM(S33:S34)</f>
        <v>441</v>
      </c>
      <c r="T35" s="93">
        <f>1742-R35-S35</f>
        <v>657</v>
      </c>
      <c r="U35" s="93">
        <f>SUM(U33:U34)</f>
        <v>515</v>
      </c>
      <c r="V35" s="24">
        <f>SUM(R35:U35)</f>
        <v>2257</v>
      </c>
      <c r="W35" s="93">
        <f>SUM(W33:W34)</f>
        <v>631</v>
      </c>
      <c r="X35" s="93">
        <f>SUM(X33:X34)</f>
        <v>438</v>
      </c>
      <c r="Y35" s="93">
        <f>SUM(Y33:Y34)</f>
        <v>610</v>
      </c>
      <c r="Z35" s="93">
        <f>SUM(Z33:Z34)</f>
        <v>583</v>
      </c>
      <c r="AA35" s="24">
        <f>SUM(W35:Z35)</f>
        <v>2262</v>
      </c>
      <c r="AB35" s="93">
        <f t="shared" ref="AB35:AT35" si="27">SUM(AB33:AB34)</f>
        <v>630</v>
      </c>
      <c r="AC35" s="93">
        <f t="shared" si="27"/>
        <v>522</v>
      </c>
      <c r="AD35" s="93">
        <f t="shared" si="27"/>
        <v>775</v>
      </c>
      <c r="AE35" s="93">
        <f t="shared" si="27"/>
        <v>684</v>
      </c>
      <c r="AF35" s="24">
        <f t="shared" si="27"/>
        <v>2611</v>
      </c>
      <c r="AG35" s="93">
        <f t="shared" si="27"/>
        <v>783</v>
      </c>
      <c r="AH35" s="93">
        <f t="shared" si="27"/>
        <v>793</v>
      </c>
      <c r="AI35" s="93">
        <f t="shared" si="27"/>
        <v>829</v>
      </c>
      <c r="AJ35" s="93">
        <f t="shared" si="27"/>
        <v>853</v>
      </c>
      <c r="AK35" s="24">
        <f>SUM(AK33:AK34)</f>
        <v>3258</v>
      </c>
      <c r="AL35" s="93">
        <f t="shared" si="27"/>
        <v>932</v>
      </c>
      <c r="AM35" s="93">
        <f t="shared" si="27"/>
        <v>782</v>
      </c>
      <c r="AN35" s="93">
        <f t="shared" si="27"/>
        <v>786</v>
      </c>
      <c r="AO35" s="93">
        <f t="shared" si="27"/>
        <v>845</v>
      </c>
      <c r="AP35" s="24">
        <f>SUM(AP33:AP34)</f>
        <v>3345</v>
      </c>
      <c r="AQ35" s="93">
        <f t="shared" si="27"/>
        <v>745</v>
      </c>
      <c r="AR35" s="93">
        <f t="shared" si="27"/>
        <v>656</v>
      </c>
      <c r="AS35" s="93">
        <f t="shared" si="27"/>
        <v>644</v>
      </c>
      <c r="AT35" s="93">
        <f t="shared" si="27"/>
        <v>808</v>
      </c>
      <c r="AU35" s="24">
        <f t="shared" ref="AU35:BG35" si="28">SUM(AU33:AU34)</f>
        <v>2853</v>
      </c>
      <c r="AV35" s="93">
        <f t="shared" si="28"/>
        <v>798</v>
      </c>
      <c r="AW35" s="93">
        <f t="shared" si="28"/>
        <v>729</v>
      </c>
      <c r="AX35" s="93">
        <f t="shared" si="28"/>
        <v>707</v>
      </c>
      <c r="AY35" s="93">
        <f t="shared" si="28"/>
        <v>914</v>
      </c>
      <c r="AZ35" s="24">
        <f t="shared" si="28"/>
        <v>3148</v>
      </c>
      <c r="BA35" s="93">
        <f t="shared" si="28"/>
        <v>1150</v>
      </c>
      <c r="BB35" s="93">
        <f t="shared" si="28"/>
        <v>900</v>
      </c>
      <c r="BC35" s="93">
        <f t="shared" si="28"/>
        <v>1325</v>
      </c>
      <c r="BD35" s="93">
        <f t="shared" si="28"/>
        <v>976</v>
      </c>
      <c r="BE35" s="24">
        <f>SUM(BE33:BE34)</f>
        <v>4351</v>
      </c>
      <c r="BF35" s="93">
        <f t="shared" si="28"/>
        <v>983</v>
      </c>
      <c r="BG35" s="93">
        <f t="shared" si="28"/>
        <v>1157</v>
      </c>
      <c r="BH35" s="93">
        <f>SUM(BH33:BH34)</f>
        <v>962</v>
      </c>
      <c r="BI35" s="93">
        <f>SUM(BI33:BI34)</f>
        <v>937</v>
      </c>
      <c r="BJ35" s="24">
        <f>SUM(BJ33:BJ34)</f>
        <v>4039</v>
      </c>
      <c r="BK35" s="93">
        <f>SUM(BK33:BK34)</f>
        <v>1036</v>
      </c>
      <c r="BL35" s="93">
        <f>SUM(BL33:BL34)</f>
        <v>1014</v>
      </c>
      <c r="BM35" s="93"/>
      <c r="BN35" s="93"/>
      <c r="BO35" s="24">
        <f>SUM(BO33:BO34)</f>
        <v>2050</v>
      </c>
    </row>
    <row r="36" spans="2:67">
      <c r="B36" s="92"/>
      <c r="C36" s="94"/>
      <c r="D36" s="94"/>
      <c r="E36" s="94"/>
      <c r="F36" s="90"/>
      <c r="G36" s="48"/>
      <c r="H36" s="111"/>
      <c r="I36" s="111"/>
      <c r="J36" s="111"/>
      <c r="K36" s="111"/>
      <c r="L36" s="48"/>
      <c r="M36" s="111"/>
      <c r="N36" s="111"/>
      <c r="O36" s="111"/>
      <c r="P36" s="111"/>
      <c r="Q36" s="48"/>
      <c r="R36" s="111"/>
      <c r="S36" s="111"/>
      <c r="T36" s="111"/>
      <c r="U36" s="111"/>
      <c r="V36" s="48"/>
      <c r="W36" s="111"/>
      <c r="X36" s="111"/>
      <c r="Y36" s="287"/>
      <c r="Z36" s="94"/>
      <c r="AA36" s="48"/>
      <c r="AB36" s="111"/>
      <c r="AC36" s="111"/>
      <c r="AD36" s="111"/>
      <c r="AE36" s="94"/>
      <c r="AF36" s="48"/>
      <c r="AG36" s="111"/>
      <c r="AH36" s="111"/>
      <c r="AI36" s="111"/>
      <c r="AJ36" s="94"/>
      <c r="AK36" s="48"/>
      <c r="AL36" s="111"/>
      <c r="AM36" s="111"/>
      <c r="AN36" s="111"/>
      <c r="AO36" s="94"/>
      <c r="AP36" s="48"/>
      <c r="AQ36" s="111"/>
      <c r="AR36" s="111"/>
      <c r="AS36" s="111"/>
      <c r="AT36" s="94"/>
      <c r="AU36" s="48"/>
      <c r="AV36" s="111"/>
      <c r="AW36" s="111"/>
      <c r="AX36" s="111"/>
      <c r="AY36" s="94"/>
      <c r="AZ36" s="48"/>
      <c r="BA36" s="111"/>
      <c r="BB36" s="111"/>
      <c r="BC36" s="111"/>
      <c r="BD36" s="94"/>
      <c r="BE36" s="48"/>
      <c r="BF36" s="111"/>
      <c r="BG36" s="111"/>
      <c r="BH36" s="111"/>
      <c r="BI36" s="94"/>
      <c r="BJ36" s="48"/>
      <c r="BK36" s="111"/>
      <c r="BL36" s="111"/>
      <c r="BM36" s="111"/>
      <c r="BN36" s="94"/>
      <c r="BO36" s="48"/>
    </row>
    <row r="37" spans="2:67">
      <c r="B37" s="87" t="s">
        <v>189</v>
      </c>
      <c r="C37" s="89"/>
      <c r="D37" s="89"/>
      <c r="E37" s="89"/>
      <c r="F37" s="90"/>
      <c r="G37" s="95"/>
      <c r="H37" s="89"/>
      <c r="I37" s="89"/>
      <c r="J37" s="89"/>
      <c r="K37" s="90"/>
      <c r="L37" s="95"/>
      <c r="M37" s="89"/>
      <c r="N37" s="89"/>
      <c r="O37" s="89"/>
      <c r="P37" s="89"/>
      <c r="Q37" s="95"/>
      <c r="R37" s="89"/>
      <c r="S37" s="89"/>
      <c r="T37" s="89"/>
      <c r="U37" s="89"/>
      <c r="V37" s="95"/>
      <c r="W37" s="89"/>
      <c r="X37" s="89"/>
      <c r="Y37" s="89"/>
      <c r="Z37" s="89"/>
      <c r="AA37" s="95"/>
      <c r="AB37" s="89"/>
      <c r="AC37" s="89"/>
      <c r="AD37" s="89"/>
      <c r="AE37" s="89"/>
      <c r="AF37" s="95"/>
      <c r="AG37" s="89"/>
      <c r="AH37" s="89"/>
      <c r="AI37" s="89"/>
      <c r="AJ37" s="89"/>
      <c r="AK37" s="95"/>
      <c r="AL37" s="89"/>
      <c r="AM37" s="89"/>
      <c r="AN37" s="89"/>
      <c r="AO37" s="89"/>
      <c r="AP37" s="95"/>
      <c r="AQ37" s="89"/>
      <c r="AR37" s="89"/>
      <c r="AS37" s="94"/>
      <c r="AT37" s="89"/>
      <c r="AU37" s="95"/>
      <c r="AV37" s="89"/>
      <c r="AW37" s="89"/>
      <c r="AX37" s="94"/>
      <c r="AY37" s="89"/>
      <c r="AZ37" s="95"/>
      <c r="BA37" s="89"/>
      <c r="BB37" s="89"/>
      <c r="BC37" s="89"/>
      <c r="BD37" s="89"/>
      <c r="BE37" s="95"/>
      <c r="BF37" s="89"/>
      <c r="BG37" s="89"/>
      <c r="BH37" s="89"/>
      <c r="BI37" s="89"/>
      <c r="BJ37" s="95"/>
      <c r="BK37" s="89"/>
      <c r="BL37" s="89"/>
      <c r="BM37" s="89"/>
      <c r="BN37" s="89"/>
      <c r="BO37" s="95"/>
    </row>
    <row r="38" spans="2:67">
      <c r="B38" s="88" t="s">
        <v>192</v>
      </c>
      <c r="C38" s="89">
        <v>0</v>
      </c>
      <c r="D38" s="89">
        <v>0</v>
      </c>
      <c r="E38" s="89">
        <v>0</v>
      </c>
      <c r="F38" s="90">
        <v>-206</v>
      </c>
      <c r="G38" s="28">
        <f t="shared" ref="G38:G61" si="29">SUM(C38:F38)</f>
        <v>-206</v>
      </c>
      <c r="H38" s="89">
        <v>-87</v>
      </c>
      <c r="I38" s="19">
        <f>-87-H38</f>
        <v>0</v>
      </c>
      <c r="J38" s="89">
        <f>-117-H38-I38</f>
        <v>-30</v>
      </c>
      <c r="K38" s="90">
        <f>-117-H38-I38-J38</f>
        <v>0</v>
      </c>
      <c r="L38" s="28">
        <f t="shared" ref="L38:L61" si="30">SUM(H38:K38)</f>
        <v>-117</v>
      </c>
      <c r="M38" s="89">
        <v>-5</v>
      </c>
      <c r="N38" s="19">
        <v>0</v>
      </c>
      <c r="O38" s="89">
        <f>-5-N38-M38</f>
        <v>0</v>
      </c>
      <c r="P38" s="19">
        <v>0</v>
      </c>
      <c r="Q38" s="95">
        <f t="shared" ref="Q38:Q61" si="31">SUM(M38:P38)</f>
        <v>-5</v>
      </c>
      <c r="R38" s="19">
        <v>-5</v>
      </c>
      <c r="S38" s="19">
        <v>-4</v>
      </c>
      <c r="T38" s="19">
        <f>-9-S38-R38</f>
        <v>0</v>
      </c>
      <c r="U38" s="19">
        <f>-9-T38-S38-R38</f>
        <v>0</v>
      </c>
      <c r="V38" s="95">
        <f t="shared" ref="V38:V61" si="32">SUM(R38:U38)</f>
        <v>-9</v>
      </c>
      <c r="W38" s="19">
        <v>-30</v>
      </c>
      <c r="X38" s="19">
        <f>-31-W38</f>
        <v>-1</v>
      </c>
      <c r="Y38" s="19">
        <f>-73-X38-W38</f>
        <v>-42</v>
      </c>
      <c r="Z38" s="19">
        <f>-110-Y38-X38-W38</f>
        <v>-37</v>
      </c>
      <c r="AA38" s="95">
        <f t="shared" ref="AA38:AA62" si="33">SUM(W38:Z38)</f>
        <v>-110</v>
      </c>
      <c r="AB38" s="19">
        <v>-72</v>
      </c>
      <c r="AC38" s="19">
        <v>0</v>
      </c>
      <c r="AD38" s="19">
        <v>0</v>
      </c>
      <c r="AE38" s="19">
        <v>-181</v>
      </c>
      <c r="AF38" s="95">
        <f>SUM(AB38:AE38)</f>
        <v>-253</v>
      </c>
      <c r="AG38" s="19">
        <v>-20</v>
      </c>
      <c r="AH38" s="19">
        <f>-20-AG38</f>
        <v>0</v>
      </c>
      <c r="AI38" s="19">
        <f>-185-AH38-AG38</f>
        <v>-165</v>
      </c>
      <c r="AJ38" s="19">
        <f>-165-21-AI38-AH38-AG38</f>
        <v>-1</v>
      </c>
      <c r="AK38" s="95">
        <f>SUM(AG38:AJ38)</f>
        <v>-186</v>
      </c>
      <c r="AL38" s="19">
        <v>-7</v>
      </c>
      <c r="AM38" s="19">
        <f>-7-AL38</f>
        <v>0</v>
      </c>
      <c r="AN38" s="19">
        <f>0-AM38-AL38-7</f>
        <v>0</v>
      </c>
      <c r="AO38" s="19">
        <f>-7-AN38-AM38-AL38</f>
        <v>0</v>
      </c>
      <c r="AP38" s="95">
        <f>SUM(AL38:AO38)</f>
        <v>-7</v>
      </c>
      <c r="AQ38" s="19">
        <f>-29-8</f>
        <v>-37</v>
      </c>
      <c r="AR38" s="19">
        <f>-112-8-AQ38</f>
        <v>-83</v>
      </c>
      <c r="AS38" s="19">
        <f>-8-113-AR38-AQ38</f>
        <v>-1</v>
      </c>
      <c r="AT38" s="19">
        <f>-113-8-AS38-AR38-AQ38</f>
        <v>0</v>
      </c>
      <c r="AU38" s="95">
        <f>SUM(AQ38:AT38)</f>
        <v>-121</v>
      </c>
      <c r="AV38" s="19">
        <v>0</v>
      </c>
      <c r="AW38" s="19">
        <f>-7-AV38</f>
        <v>-7</v>
      </c>
      <c r="AX38" s="19">
        <f>-12-AW38-AV38</f>
        <v>-5</v>
      </c>
      <c r="AY38" s="19">
        <f>-12-SUM(AV38:AX38)</f>
        <v>0</v>
      </c>
      <c r="AZ38" s="95">
        <f>SUM(AV38:AY38)</f>
        <v>-12</v>
      </c>
      <c r="BA38" s="19">
        <v>-15</v>
      </c>
      <c r="BB38" s="19">
        <f>-377-BA38</f>
        <v>-362</v>
      </c>
      <c r="BC38" s="19">
        <f>-377-BB38-BA38</f>
        <v>0</v>
      </c>
      <c r="BD38" s="19">
        <f>-377-SUM(BA38:BC38)</f>
        <v>0</v>
      </c>
      <c r="BE38" s="95">
        <f>SUM(BA38:BD38)</f>
        <v>-377</v>
      </c>
      <c r="BF38" s="19">
        <v>-75</v>
      </c>
      <c r="BG38" s="19">
        <f>-76-1-BF38</f>
        <v>-2</v>
      </c>
      <c r="BH38" s="19">
        <f>-77-BF38-BG38</f>
        <v>0</v>
      </c>
      <c r="BI38" s="19">
        <f>-76-1-BH38-BG38-BF38</f>
        <v>0</v>
      </c>
      <c r="BJ38" s="95">
        <f>SUM(BF38:BI38)</f>
        <v>-77</v>
      </c>
      <c r="BK38" s="19">
        <v>-341</v>
      </c>
      <c r="BL38" s="19">
        <f>BO38-BK38</f>
        <v>-2</v>
      </c>
      <c r="BM38" s="19"/>
      <c r="BN38" s="19"/>
      <c r="BO38" s="95">
        <v>-343</v>
      </c>
    </row>
    <row r="39" spans="2:67">
      <c r="B39" s="88" t="s">
        <v>251</v>
      </c>
      <c r="C39" s="89">
        <v>0</v>
      </c>
      <c r="D39" s="89">
        <v>0</v>
      </c>
      <c r="E39" s="89">
        <v>0</v>
      </c>
      <c r="F39" s="90">
        <v>-15</v>
      </c>
      <c r="G39" s="28">
        <f t="shared" si="29"/>
        <v>-15</v>
      </c>
      <c r="H39" s="89">
        <v>0</v>
      </c>
      <c r="I39" s="19">
        <v>0</v>
      </c>
      <c r="J39" s="89">
        <v>0</v>
      </c>
      <c r="K39" s="90">
        <v>0</v>
      </c>
      <c r="L39" s="28">
        <f t="shared" si="30"/>
        <v>0</v>
      </c>
      <c r="M39" s="89">
        <v>0</v>
      </c>
      <c r="N39" s="19">
        <v>0</v>
      </c>
      <c r="O39" s="89">
        <f>0-N39-M39</f>
        <v>0</v>
      </c>
      <c r="P39" s="89">
        <v>0</v>
      </c>
      <c r="Q39" s="28">
        <f t="shared" si="31"/>
        <v>0</v>
      </c>
      <c r="R39" s="19">
        <v>0</v>
      </c>
      <c r="S39" s="19">
        <v>0</v>
      </c>
      <c r="T39" s="19">
        <v>0</v>
      </c>
      <c r="U39" s="19">
        <v>0</v>
      </c>
      <c r="V39" s="28">
        <f t="shared" si="32"/>
        <v>0</v>
      </c>
      <c r="W39" s="19">
        <v>0</v>
      </c>
      <c r="X39" s="19">
        <v>0</v>
      </c>
      <c r="Y39" s="19">
        <v>0</v>
      </c>
      <c r="Z39" s="19">
        <v>0</v>
      </c>
      <c r="AA39" s="28">
        <f t="shared" si="33"/>
        <v>0</v>
      </c>
      <c r="AB39" s="19">
        <v>0</v>
      </c>
      <c r="AC39" s="19">
        <v>0</v>
      </c>
      <c r="AD39" s="19">
        <v>0</v>
      </c>
      <c r="AE39" s="19">
        <v>0</v>
      </c>
      <c r="AF39" s="28">
        <f>SUM(AB39:AE39)</f>
        <v>0</v>
      </c>
      <c r="AG39" s="19">
        <v>0</v>
      </c>
      <c r="AH39" s="19">
        <v>0</v>
      </c>
      <c r="AI39" s="19">
        <v>0</v>
      </c>
      <c r="AJ39" s="19">
        <v>0</v>
      </c>
      <c r="AK39" s="28">
        <f>SUM(AG39:AJ39)</f>
        <v>0</v>
      </c>
      <c r="AL39" s="19">
        <v>0</v>
      </c>
      <c r="AM39" s="19">
        <v>0</v>
      </c>
      <c r="AN39" s="19">
        <v>0</v>
      </c>
      <c r="AO39" s="19">
        <v>0</v>
      </c>
      <c r="AP39" s="28">
        <f>SUM(AL39:AO39)</f>
        <v>0</v>
      </c>
      <c r="AQ39" s="19">
        <v>0</v>
      </c>
      <c r="AR39" s="19">
        <v>0</v>
      </c>
      <c r="AS39" s="19">
        <v>0</v>
      </c>
      <c r="AT39" s="19">
        <v>0</v>
      </c>
      <c r="AU39" s="28">
        <f>SUM(AQ39:AT39)</f>
        <v>0</v>
      </c>
      <c r="AV39" s="19">
        <v>0</v>
      </c>
      <c r="AW39" s="19">
        <v>0</v>
      </c>
      <c r="AX39" s="19">
        <v>0</v>
      </c>
      <c r="AY39" s="19">
        <v>0</v>
      </c>
      <c r="AZ39" s="28">
        <f>SUM(AV39:AY39)</f>
        <v>0</v>
      </c>
      <c r="BA39" s="19">
        <v>0</v>
      </c>
      <c r="BB39" s="19">
        <v>0</v>
      </c>
      <c r="BC39" s="19">
        <v>0</v>
      </c>
      <c r="BD39" s="19">
        <v>0</v>
      </c>
      <c r="BE39" s="28">
        <f>SUM(BA39:BD39)</f>
        <v>0</v>
      </c>
      <c r="BF39" s="19">
        <v>0</v>
      </c>
      <c r="BG39" s="19">
        <v>0</v>
      </c>
      <c r="BH39" s="19">
        <v>0</v>
      </c>
      <c r="BI39" s="19">
        <v>0</v>
      </c>
      <c r="BJ39" s="28">
        <f>SUM(BF39:BI39)</f>
        <v>0</v>
      </c>
      <c r="BK39" s="19">
        <v>0</v>
      </c>
      <c r="BL39" s="19">
        <f t="shared" ref="BL39:BL61" si="34">BO39-BK39</f>
        <v>0</v>
      </c>
      <c r="BM39" s="19"/>
      <c r="BN39" s="19"/>
      <c r="BO39" s="28">
        <v>0</v>
      </c>
    </row>
    <row r="40" spans="2:67">
      <c r="B40" s="88" t="s">
        <v>194</v>
      </c>
      <c r="C40" s="89"/>
      <c r="D40" s="89"/>
      <c r="E40" s="89"/>
      <c r="F40" s="90"/>
      <c r="G40" s="28"/>
      <c r="H40" s="89">
        <v>-2</v>
      </c>
      <c r="I40" s="19">
        <f>-3-H40</f>
        <v>-1</v>
      </c>
      <c r="J40" s="89">
        <f>-8-H40-I40</f>
        <v>-5</v>
      </c>
      <c r="K40" s="90">
        <f>-12-H40-I40-J40</f>
        <v>-4</v>
      </c>
      <c r="L40" s="28">
        <f>SUM(H40:K40)</f>
        <v>-12</v>
      </c>
      <c r="M40" s="89">
        <v>-4</v>
      </c>
      <c r="N40" s="19">
        <f>-8-M40</f>
        <v>-4</v>
      </c>
      <c r="O40" s="89">
        <f>-8-N40-M40</f>
        <v>0</v>
      </c>
      <c r="P40" s="89">
        <v>-2</v>
      </c>
      <c r="Q40" s="28">
        <f>SUM(M40:P40)</f>
        <v>-10</v>
      </c>
      <c r="R40" s="19">
        <v>-2</v>
      </c>
      <c r="S40" s="19">
        <v>0</v>
      </c>
      <c r="T40" s="19">
        <f>-4-R40-S40</f>
        <v>-2</v>
      </c>
      <c r="U40" s="19">
        <f>-4-T40-S40-R40</f>
        <v>0</v>
      </c>
      <c r="V40" s="28">
        <f>SUM(R40:U40)</f>
        <v>-4</v>
      </c>
      <c r="W40" s="19">
        <v>-2</v>
      </c>
      <c r="X40" s="19">
        <f>-3-W40</f>
        <v>-1</v>
      </c>
      <c r="Y40" s="19">
        <f>-3-X40-W40</f>
        <v>0</v>
      </c>
      <c r="Z40" s="19">
        <f>-3-Y40-X40-W40</f>
        <v>0</v>
      </c>
      <c r="AA40" s="28">
        <f>SUM(W40:Z40)</f>
        <v>-3</v>
      </c>
      <c r="AB40" s="19">
        <v>0</v>
      </c>
      <c r="AC40" s="19">
        <v>-6</v>
      </c>
      <c r="AD40" s="19"/>
      <c r="AE40" s="19">
        <v>0</v>
      </c>
      <c r="AF40" s="28">
        <f>SUM(AB40:AE40)</f>
        <v>-6</v>
      </c>
      <c r="AG40" s="19">
        <v>0</v>
      </c>
      <c r="AH40" s="19">
        <v>0</v>
      </c>
      <c r="AI40" s="19">
        <v>0</v>
      </c>
      <c r="AJ40" s="19">
        <v>0</v>
      </c>
      <c r="AK40" s="28">
        <f>SUM(AG40:AJ40)</f>
        <v>0</v>
      </c>
      <c r="AL40" s="19">
        <v>0</v>
      </c>
      <c r="AM40" s="19">
        <v>0</v>
      </c>
      <c r="AN40" s="19">
        <f>0-AM40-AL40</f>
        <v>0</v>
      </c>
      <c r="AO40" s="19">
        <v>0</v>
      </c>
      <c r="AP40" s="28">
        <f>SUM(AL40:AO40)</f>
        <v>0</v>
      </c>
      <c r="AQ40" s="19">
        <v>0</v>
      </c>
      <c r="AR40" s="19">
        <f>0-AQ40</f>
        <v>0</v>
      </c>
      <c r="AS40" s="19">
        <v>0</v>
      </c>
      <c r="AT40" s="19">
        <v>0</v>
      </c>
      <c r="AU40" s="28">
        <f>SUM(AQ40:AT40)</f>
        <v>0</v>
      </c>
      <c r="AV40" s="19">
        <v>0</v>
      </c>
      <c r="AW40" s="19">
        <v>0</v>
      </c>
      <c r="AX40" s="19">
        <v>0</v>
      </c>
      <c r="AY40" s="19">
        <v>0</v>
      </c>
      <c r="AZ40" s="28">
        <f>SUM(AV40:AY40)</f>
        <v>0</v>
      </c>
      <c r="BA40" s="19">
        <v>0</v>
      </c>
      <c r="BB40" s="19">
        <v>0</v>
      </c>
      <c r="BC40" s="19">
        <v>0</v>
      </c>
      <c r="BD40" s="19">
        <v>0</v>
      </c>
      <c r="BE40" s="28">
        <f>SUM(BA40:BD40)</f>
        <v>0</v>
      </c>
      <c r="BF40" s="19">
        <v>0</v>
      </c>
      <c r="BG40" s="19">
        <v>0</v>
      </c>
      <c r="BH40" s="19">
        <v>0</v>
      </c>
      <c r="BI40" s="19">
        <v>0</v>
      </c>
      <c r="BJ40" s="28">
        <f>SUM(BF40:BI40)</f>
        <v>0</v>
      </c>
      <c r="BK40" s="19">
        <v>0</v>
      </c>
      <c r="BL40" s="19">
        <f t="shared" si="34"/>
        <v>0</v>
      </c>
      <c r="BM40" s="19"/>
      <c r="BN40" s="19"/>
      <c r="BO40" s="28">
        <v>0</v>
      </c>
    </row>
    <row r="41" spans="2:67">
      <c r="B41" s="88" t="s">
        <v>490</v>
      </c>
      <c r="C41" s="89">
        <v>-75</v>
      </c>
      <c r="D41" s="89">
        <f>-168-C41</f>
        <v>-93</v>
      </c>
      <c r="E41" s="89">
        <v>-93</v>
      </c>
      <c r="F41" s="90">
        <v>-106</v>
      </c>
      <c r="G41" s="28">
        <f t="shared" si="29"/>
        <v>-367</v>
      </c>
      <c r="H41" s="89">
        <v>-105</v>
      </c>
      <c r="I41" s="19">
        <f>-195-H41</f>
        <v>-90</v>
      </c>
      <c r="J41" s="89">
        <f>-298-H41-I41</f>
        <v>-103</v>
      </c>
      <c r="K41" s="90">
        <f>-413-H41-I41-J41</f>
        <v>-115</v>
      </c>
      <c r="L41" s="28">
        <f t="shared" si="30"/>
        <v>-413</v>
      </c>
      <c r="M41" s="89">
        <v>-128</v>
      </c>
      <c r="N41" s="19">
        <f>-219-M41</f>
        <v>-91</v>
      </c>
      <c r="O41" s="89">
        <f>-311-N41-M41</f>
        <v>-92</v>
      </c>
      <c r="P41" s="89">
        <v>-100</v>
      </c>
      <c r="Q41" s="28">
        <f t="shared" si="31"/>
        <v>-411</v>
      </c>
      <c r="R41" s="19">
        <v>-86</v>
      </c>
      <c r="S41" s="19">
        <v>-63</v>
      </c>
      <c r="T41" s="19">
        <f>-213-R41-S41</f>
        <v>-64</v>
      </c>
      <c r="U41" s="19">
        <f>-310-T41-S41-R41</f>
        <v>-97</v>
      </c>
      <c r="V41" s="28">
        <f t="shared" si="32"/>
        <v>-310</v>
      </c>
      <c r="W41" s="19">
        <v>-79</v>
      </c>
      <c r="X41" s="19">
        <f>-157-W41</f>
        <v>-78</v>
      </c>
      <c r="Y41" s="19">
        <f>-233-X41-W41</f>
        <v>-76</v>
      </c>
      <c r="Z41" s="19">
        <f>-349-Y41-X41-W41</f>
        <v>-116</v>
      </c>
      <c r="AA41" s="28">
        <f t="shared" si="33"/>
        <v>-349</v>
      </c>
      <c r="AB41" s="19">
        <v>-145</v>
      </c>
      <c r="AC41" s="19">
        <v>-125</v>
      </c>
      <c r="AD41" s="19">
        <v>-104</v>
      </c>
      <c r="AE41" s="19">
        <v>-91</v>
      </c>
      <c r="AF41" s="28">
        <f t="shared" ref="AF41:AF46" si="35">SUM(AB41:AE41)</f>
        <v>-465</v>
      </c>
      <c r="AG41" s="19">
        <v>-55</v>
      </c>
      <c r="AH41" s="19">
        <f>-174-AG41</f>
        <v>-119</v>
      </c>
      <c r="AI41" s="19">
        <f>-231-AH41-AG41</f>
        <v>-57</v>
      </c>
      <c r="AJ41" s="19">
        <f>-285-AI41-AH41-AG41</f>
        <v>-54</v>
      </c>
      <c r="AK41" s="28">
        <f t="shared" ref="AK41:AK46" si="36">SUM(AG41:AJ41)</f>
        <v>-285</v>
      </c>
      <c r="AL41" s="19">
        <v>-69</v>
      </c>
      <c r="AM41" s="19">
        <f>-139-AL41</f>
        <v>-70</v>
      </c>
      <c r="AN41" s="19">
        <f>-206-AM41-AL41</f>
        <v>-67</v>
      </c>
      <c r="AO41" s="19">
        <f>-290-AN41-AM41-AL41</f>
        <v>-84</v>
      </c>
      <c r="AP41" s="28">
        <f t="shared" ref="AP41:AP46" si="37">SUM(AL41:AO41)</f>
        <v>-290</v>
      </c>
      <c r="AQ41" s="19">
        <v>-89</v>
      </c>
      <c r="AR41" s="19">
        <f>-156-AQ41</f>
        <v>-67</v>
      </c>
      <c r="AS41" s="19">
        <f>-224-AR41-AQ41</f>
        <v>-68</v>
      </c>
      <c r="AT41" s="19">
        <f>-319-AS41-AR41-AQ41</f>
        <v>-95</v>
      </c>
      <c r="AU41" s="28">
        <f t="shared" ref="AU41:AU46" si="38">SUM(AQ41:AT41)</f>
        <v>-319</v>
      </c>
      <c r="AV41" s="19">
        <v>-99</v>
      </c>
      <c r="AW41" s="19">
        <f>-158-AV41</f>
        <v>-59</v>
      </c>
      <c r="AX41" s="19">
        <f>-200-SUM(AV41:AW41)</f>
        <v>-42</v>
      </c>
      <c r="AY41" s="19">
        <f>-266-SUM(AV41:AX41)</f>
        <v>-66</v>
      </c>
      <c r="AZ41" s="28">
        <f t="shared" ref="AZ41:AZ46" si="39">SUM(AV41:AY41)</f>
        <v>-266</v>
      </c>
      <c r="BA41" s="19">
        <v>-56</v>
      </c>
      <c r="BB41" s="19">
        <f>-117-BA41</f>
        <v>-61</v>
      </c>
      <c r="BC41" s="19">
        <f>-179-BB41-BA41</f>
        <v>-62</v>
      </c>
      <c r="BD41" s="19">
        <f>-263-SUM(BA41:BC41)</f>
        <v>-84</v>
      </c>
      <c r="BE41" s="28">
        <f t="shared" ref="BE41:BE46" si="40">SUM(BA41:BD41)</f>
        <v>-263</v>
      </c>
      <c r="BF41" s="19">
        <v>-99</v>
      </c>
      <c r="BG41" s="19">
        <f>-155-BF41</f>
        <v>-56</v>
      </c>
      <c r="BH41" s="19">
        <f>-202-BF41-BG41</f>
        <v>-47</v>
      </c>
      <c r="BI41" s="19">
        <f>-306-BH41-BG41-BF41</f>
        <v>-104</v>
      </c>
      <c r="BJ41" s="28">
        <f t="shared" ref="BJ41:BJ61" si="41">SUM(BF41:BI41)</f>
        <v>-306</v>
      </c>
      <c r="BK41" s="19">
        <v>-81</v>
      </c>
      <c r="BL41" s="19">
        <f t="shared" si="34"/>
        <v>-86</v>
      </c>
      <c r="BM41" s="19"/>
      <c r="BN41" s="19"/>
      <c r="BO41" s="28">
        <v>-167</v>
      </c>
    </row>
    <row r="42" spans="2:67">
      <c r="B42" s="88" t="s">
        <v>190</v>
      </c>
      <c r="C42" s="89">
        <v>-5</v>
      </c>
      <c r="D42" s="89">
        <f>-5-C42</f>
        <v>0</v>
      </c>
      <c r="E42" s="89">
        <v>5</v>
      </c>
      <c r="F42" s="90">
        <v>-1</v>
      </c>
      <c r="G42" s="28">
        <f t="shared" si="29"/>
        <v>-1</v>
      </c>
      <c r="H42" s="89">
        <v>0</v>
      </c>
      <c r="I42" s="19">
        <f>-1-H42</f>
        <v>-1</v>
      </c>
      <c r="J42" s="89">
        <f>-7-H42-I42</f>
        <v>-6</v>
      </c>
      <c r="K42" s="90">
        <f>-11-H42-I42-J42</f>
        <v>-4</v>
      </c>
      <c r="L42" s="28">
        <f t="shared" si="30"/>
        <v>-11</v>
      </c>
      <c r="M42" s="89">
        <v>3</v>
      </c>
      <c r="N42" s="19">
        <f>6-M42</f>
        <v>3</v>
      </c>
      <c r="O42" s="89">
        <f>8-N42-M42</f>
        <v>2</v>
      </c>
      <c r="P42" s="89">
        <v>-4</v>
      </c>
      <c r="Q42" s="28">
        <f t="shared" si="31"/>
        <v>4</v>
      </c>
      <c r="R42" s="19">
        <v>3</v>
      </c>
      <c r="S42" s="19">
        <v>0</v>
      </c>
      <c r="T42" s="19">
        <f>3-R42-S42</f>
        <v>0</v>
      </c>
      <c r="U42" s="19">
        <f>4-T42-S42-R42</f>
        <v>1</v>
      </c>
      <c r="V42" s="28">
        <f t="shared" si="32"/>
        <v>4</v>
      </c>
      <c r="W42" s="19">
        <v>0</v>
      </c>
      <c r="X42" s="19">
        <f>1-W42</f>
        <v>1</v>
      </c>
      <c r="Y42" s="19">
        <f>2-X42-W42</f>
        <v>1</v>
      </c>
      <c r="Z42" s="19">
        <f>2-Y42-X42-W42</f>
        <v>0</v>
      </c>
      <c r="AA42" s="28">
        <f t="shared" si="33"/>
        <v>2</v>
      </c>
      <c r="AB42" s="19">
        <v>2</v>
      </c>
      <c r="AC42" s="19">
        <v>-1</v>
      </c>
      <c r="AD42" s="19">
        <v>-1</v>
      </c>
      <c r="AE42" s="19">
        <v>0</v>
      </c>
      <c r="AF42" s="28">
        <f t="shared" si="35"/>
        <v>0</v>
      </c>
      <c r="AG42" s="19">
        <v>0</v>
      </c>
      <c r="AH42" s="19">
        <v>0</v>
      </c>
      <c r="AI42" s="19">
        <v>0</v>
      </c>
      <c r="AJ42" s="19">
        <v>0</v>
      </c>
      <c r="AK42" s="28">
        <f t="shared" si="36"/>
        <v>0</v>
      </c>
      <c r="AL42" s="19">
        <v>0</v>
      </c>
      <c r="AM42" s="19">
        <v>0</v>
      </c>
      <c r="AN42" s="19">
        <v>0</v>
      </c>
      <c r="AO42" s="19">
        <v>0</v>
      </c>
      <c r="AP42" s="28">
        <f t="shared" si="37"/>
        <v>0</v>
      </c>
      <c r="AQ42" s="19">
        <v>0</v>
      </c>
      <c r="AR42" s="19">
        <v>0</v>
      </c>
      <c r="AS42" s="19">
        <v>0</v>
      </c>
      <c r="AT42" s="19">
        <v>0</v>
      </c>
      <c r="AU42" s="28">
        <f t="shared" si="38"/>
        <v>0</v>
      </c>
      <c r="AV42" s="19">
        <v>0</v>
      </c>
      <c r="AW42" s="19">
        <v>0</v>
      </c>
      <c r="AX42" s="19">
        <v>0</v>
      </c>
      <c r="AY42" s="19">
        <v>0</v>
      </c>
      <c r="AZ42" s="28">
        <f t="shared" si="39"/>
        <v>0</v>
      </c>
      <c r="BA42" s="19">
        <v>0</v>
      </c>
      <c r="BB42" s="19">
        <v>0</v>
      </c>
      <c r="BC42" s="19">
        <v>0</v>
      </c>
      <c r="BD42" s="19">
        <v>0</v>
      </c>
      <c r="BE42" s="28">
        <f t="shared" si="40"/>
        <v>0</v>
      </c>
      <c r="BF42" s="19">
        <v>0</v>
      </c>
      <c r="BG42" s="19">
        <v>0</v>
      </c>
      <c r="BH42" s="19">
        <v>0</v>
      </c>
      <c r="BI42" s="19">
        <v>0</v>
      </c>
      <c r="BJ42" s="28">
        <f t="shared" si="41"/>
        <v>0</v>
      </c>
      <c r="BK42" s="19">
        <v>0</v>
      </c>
      <c r="BL42" s="19">
        <f>BO42-BK42</f>
        <v>0</v>
      </c>
      <c r="BM42" s="19"/>
      <c r="BN42" s="19"/>
      <c r="BO42" s="28">
        <v>0</v>
      </c>
    </row>
    <row r="43" spans="2:67">
      <c r="B43" s="88" t="s">
        <v>496</v>
      </c>
      <c r="C43" s="89">
        <v>-4</v>
      </c>
      <c r="D43" s="89">
        <f>1-C43</f>
        <v>5</v>
      </c>
      <c r="E43" s="89">
        <v>-2</v>
      </c>
      <c r="F43" s="90">
        <v>-21</v>
      </c>
      <c r="G43" s="28">
        <f t="shared" si="29"/>
        <v>-22</v>
      </c>
      <c r="H43" s="89">
        <v>-3</v>
      </c>
      <c r="I43" s="19">
        <f>-4-H43</f>
        <v>-1</v>
      </c>
      <c r="J43" s="89">
        <f>-7-H43-I43</f>
        <v>-3</v>
      </c>
      <c r="K43" s="90">
        <f>-22-H43-I43-J43</f>
        <v>-15</v>
      </c>
      <c r="L43" s="28">
        <f t="shared" si="30"/>
        <v>-22</v>
      </c>
      <c r="M43" s="89">
        <v>-9</v>
      </c>
      <c r="N43" s="19">
        <f>-13-M43</f>
        <v>-4</v>
      </c>
      <c r="O43" s="89">
        <f>-22-N43-M43</f>
        <v>-9</v>
      </c>
      <c r="P43" s="89">
        <v>-3</v>
      </c>
      <c r="Q43" s="28">
        <f t="shared" si="31"/>
        <v>-25</v>
      </c>
      <c r="R43" s="19">
        <v>-1</v>
      </c>
      <c r="S43" s="19">
        <v>-2</v>
      </c>
      <c r="T43" s="19">
        <f>-5-R43-S43</f>
        <v>-2</v>
      </c>
      <c r="U43" s="19">
        <f>-20-T43-S43-R43</f>
        <v>-15</v>
      </c>
      <c r="V43" s="28">
        <f t="shared" si="32"/>
        <v>-20</v>
      </c>
      <c r="W43" s="19">
        <v>3</v>
      </c>
      <c r="X43" s="19">
        <f>-2-W43</f>
        <v>-5</v>
      </c>
      <c r="Y43" s="19">
        <f>0-X43-W43</f>
        <v>2</v>
      </c>
      <c r="Z43" s="19">
        <f>-3-Y43-X43-W43</f>
        <v>-3</v>
      </c>
      <c r="AA43" s="28">
        <f t="shared" si="33"/>
        <v>-3</v>
      </c>
      <c r="AB43" s="19">
        <v>5</v>
      </c>
      <c r="AC43" s="19">
        <v>-6</v>
      </c>
      <c r="AD43" s="19">
        <v>-7</v>
      </c>
      <c r="AE43" s="19">
        <v>-7</v>
      </c>
      <c r="AF43" s="28">
        <f t="shared" si="35"/>
        <v>-15</v>
      </c>
      <c r="AG43" s="19">
        <v>-17</v>
      </c>
      <c r="AH43" s="19">
        <f>-18-AG43</f>
        <v>-1</v>
      </c>
      <c r="AI43" s="19">
        <f>-18-AH43-AG43</f>
        <v>0</v>
      </c>
      <c r="AJ43" s="19">
        <f>-28-AI43-AH43-AG43</f>
        <v>-10</v>
      </c>
      <c r="AK43" s="28">
        <f t="shared" si="36"/>
        <v>-28</v>
      </c>
      <c r="AL43" s="19">
        <v>-40</v>
      </c>
      <c r="AM43" s="19">
        <f>-69-AL43</f>
        <v>-29</v>
      </c>
      <c r="AN43" s="19">
        <f>-106-AM43-AL43</f>
        <v>-37</v>
      </c>
      <c r="AO43" s="19">
        <f>-121-AN43-AM43-AL43</f>
        <v>-15</v>
      </c>
      <c r="AP43" s="28">
        <f t="shared" si="37"/>
        <v>-121</v>
      </c>
      <c r="AQ43" s="19">
        <v>-28</v>
      </c>
      <c r="AR43" s="19">
        <f>-71-AQ43</f>
        <v>-43</v>
      </c>
      <c r="AS43" s="19">
        <f>-113-AR43-AQ43</f>
        <v>-42</v>
      </c>
      <c r="AT43" s="19">
        <f>-123-AS43-AR43-AQ43</f>
        <v>-10</v>
      </c>
      <c r="AU43" s="28">
        <f t="shared" si="38"/>
        <v>-123</v>
      </c>
      <c r="AV43" s="19">
        <v>-54</v>
      </c>
      <c r="AW43" s="19">
        <f>-77-AV43</f>
        <v>-23</v>
      </c>
      <c r="AX43" s="19">
        <f>-89-SUM(AV43:AW43)</f>
        <v>-12</v>
      </c>
      <c r="AY43" s="19">
        <f>-102-SUM(AV43:AX43)</f>
        <v>-13</v>
      </c>
      <c r="AZ43" s="28">
        <f t="shared" si="39"/>
        <v>-102</v>
      </c>
      <c r="BA43" s="19">
        <v>-40</v>
      </c>
      <c r="BB43" s="19">
        <f>-69-BA43</f>
        <v>-29</v>
      </c>
      <c r="BC43" s="19">
        <f>-128-BB43-BA43</f>
        <v>-59</v>
      </c>
      <c r="BD43" s="19">
        <f>-145-SUM(BA43:BC43)</f>
        <v>-17</v>
      </c>
      <c r="BE43" s="28">
        <f t="shared" si="40"/>
        <v>-145</v>
      </c>
      <c r="BF43" s="19">
        <v>-46</v>
      </c>
      <c r="BG43" s="19">
        <f>-79-BF43</f>
        <v>-33</v>
      </c>
      <c r="BH43" s="19">
        <f>-95-BF43-BG43</f>
        <v>-16</v>
      </c>
      <c r="BI43" s="19">
        <f>-106-BH43-BG43-BF43</f>
        <v>-11</v>
      </c>
      <c r="BJ43" s="28">
        <f t="shared" si="41"/>
        <v>-106</v>
      </c>
      <c r="BK43" s="19">
        <v>-49</v>
      </c>
      <c r="BL43" s="19">
        <f>BO43-BK43</f>
        <v>-32</v>
      </c>
      <c r="BM43" s="19"/>
      <c r="BN43" s="19"/>
      <c r="BO43" s="28">
        <v>-81</v>
      </c>
    </row>
    <row r="44" spans="2:67">
      <c r="B44" s="88" t="s">
        <v>491</v>
      </c>
      <c r="C44" s="89"/>
      <c r="D44" s="89"/>
      <c r="E44" s="89"/>
      <c r="F44" s="90"/>
      <c r="G44" s="28"/>
      <c r="H44" s="89"/>
      <c r="I44" s="19"/>
      <c r="J44" s="89"/>
      <c r="K44" s="90"/>
      <c r="L44" s="28"/>
      <c r="M44" s="89"/>
      <c r="N44" s="19"/>
      <c r="O44" s="89"/>
      <c r="P44" s="89"/>
      <c r="Q44" s="28"/>
      <c r="R44" s="19"/>
      <c r="S44" s="19"/>
      <c r="T44" s="19"/>
      <c r="U44" s="19"/>
      <c r="V44" s="28"/>
      <c r="W44" s="19"/>
      <c r="X44" s="19"/>
      <c r="Y44" s="19"/>
      <c r="Z44" s="19"/>
      <c r="AA44" s="28"/>
      <c r="AB44" s="19"/>
      <c r="AC44" s="19"/>
      <c r="AD44" s="19"/>
      <c r="AE44" s="19"/>
      <c r="AF44" s="28"/>
      <c r="AG44" s="19"/>
      <c r="AH44" s="19"/>
      <c r="AI44" s="19"/>
      <c r="AJ44" s="19"/>
      <c r="AK44" s="28"/>
      <c r="AL44" s="19">
        <v>17</v>
      </c>
      <c r="AM44" s="19">
        <f>46-AL44</f>
        <v>29</v>
      </c>
      <c r="AN44" s="19">
        <f>85-AM44-AL44</f>
        <v>39</v>
      </c>
      <c r="AO44" s="19">
        <f>101-AN44-AM44-AL44</f>
        <v>16</v>
      </c>
      <c r="AP44" s="28">
        <f t="shared" si="37"/>
        <v>101</v>
      </c>
      <c r="AQ44" s="19">
        <v>3</v>
      </c>
      <c r="AR44" s="19">
        <f>48-AQ44</f>
        <v>45</v>
      </c>
      <c r="AS44" s="19">
        <f>84-AR44-AQ44</f>
        <v>36</v>
      </c>
      <c r="AT44" s="19">
        <f>94-AS44-AR44-AQ44</f>
        <v>10</v>
      </c>
      <c r="AU44" s="28">
        <f t="shared" si="38"/>
        <v>94</v>
      </c>
      <c r="AV44" s="19">
        <v>31</v>
      </c>
      <c r="AW44" s="19">
        <f>53-AV44</f>
        <v>22</v>
      </c>
      <c r="AX44" s="19">
        <f>76-SUM(AV44:AW44)</f>
        <v>23</v>
      </c>
      <c r="AY44" s="19">
        <f>86-SUM(AV44:AX44)</f>
        <v>10</v>
      </c>
      <c r="AZ44" s="28">
        <f t="shared" si="39"/>
        <v>86</v>
      </c>
      <c r="BA44" s="19">
        <v>14</v>
      </c>
      <c r="BB44" s="19">
        <f>43-BA44</f>
        <v>29</v>
      </c>
      <c r="BC44" s="19">
        <f>82-BB44-BA44</f>
        <v>39</v>
      </c>
      <c r="BD44" s="19">
        <f>92-SUM(BA44:BC44)</f>
        <v>10</v>
      </c>
      <c r="BE44" s="28">
        <f t="shared" si="40"/>
        <v>92</v>
      </c>
      <c r="BF44" s="19">
        <v>15</v>
      </c>
      <c r="BG44" s="19">
        <f>45-BF44</f>
        <v>30</v>
      </c>
      <c r="BH44" s="19">
        <f>65-BF44-BG44</f>
        <v>20</v>
      </c>
      <c r="BI44" s="19">
        <f>82-BH44-BG44-BF44</f>
        <v>17</v>
      </c>
      <c r="BJ44" s="28">
        <f t="shared" si="41"/>
        <v>82</v>
      </c>
      <c r="BK44" s="19">
        <v>22</v>
      </c>
      <c r="BL44" s="19">
        <f t="shared" si="34"/>
        <v>32</v>
      </c>
      <c r="BM44" s="19"/>
      <c r="BN44" s="19"/>
      <c r="BO44" s="28">
        <v>54</v>
      </c>
    </row>
    <row r="45" spans="2:67">
      <c r="B45" s="88" t="s">
        <v>191</v>
      </c>
      <c r="C45" s="89">
        <v>12</v>
      </c>
      <c r="D45" s="89">
        <f>30-C45</f>
        <v>18</v>
      </c>
      <c r="E45" s="89">
        <v>17</v>
      </c>
      <c r="F45" s="90">
        <v>7</v>
      </c>
      <c r="G45" s="28">
        <f t="shared" si="29"/>
        <v>54</v>
      </c>
      <c r="H45" s="89">
        <v>3</v>
      </c>
      <c r="I45" s="19">
        <f>14-H45</f>
        <v>11</v>
      </c>
      <c r="J45" s="89">
        <f>23-H45-I45</f>
        <v>9</v>
      </c>
      <c r="K45" s="90">
        <f>26-H45-I45-J45</f>
        <v>3</v>
      </c>
      <c r="L45" s="28">
        <f t="shared" si="30"/>
        <v>26</v>
      </c>
      <c r="M45" s="89">
        <v>4</v>
      </c>
      <c r="N45" s="19">
        <f>12-M45</f>
        <v>8</v>
      </c>
      <c r="O45" s="89">
        <f>20-N45-M45</f>
        <v>8</v>
      </c>
      <c r="P45" s="89">
        <v>12</v>
      </c>
      <c r="Q45" s="28">
        <f t="shared" si="31"/>
        <v>32</v>
      </c>
      <c r="R45" s="19">
        <v>13</v>
      </c>
      <c r="S45" s="19">
        <v>21</v>
      </c>
      <c r="T45" s="19">
        <f>50-R45-S45</f>
        <v>16</v>
      </c>
      <c r="U45" s="19">
        <f>67-T45-S45-R45</f>
        <v>17</v>
      </c>
      <c r="V45" s="28">
        <f t="shared" si="32"/>
        <v>67</v>
      </c>
      <c r="W45" s="19">
        <v>27</v>
      </c>
      <c r="X45" s="19">
        <f>46-W45</f>
        <v>19</v>
      </c>
      <c r="Y45" s="19">
        <f>63-X45-W45</f>
        <v>17</v>
      </c>
      <c r="Z45" s="19">
        <f>79-Y45-X45-W45</f>
        <v>16</v>
      </c>
      <c r="AA45" s="28">
        <f t="shared" si="33"/>
        <v>79</v>
      </c>
      <c r="AB45" s="19">
        <v>11</v>
      </c>
      <c r="AC45" s="19">
        <v>17</v>
      </c>
      <c r="AD45" s="19">
        <v>15</v>
      </c>
      <c r="AE45" s="19">
        <v>9</v>
      </c>
      <c r="AF45" s="28">
        <f t="shared" si="35"/>
        <v>52</v>
      </c>
      <c r="AG45" s="19">
        <v>14</v>
      </c>
      <c r="AH45" s="19">
        <f>34-AG45</f>
        <v>20</v>
      </c>
      <c r="AI45" s="19">
        <f>58-AH45-AG45</f>
        <v>24</v>
      </c>
      <c r="AJ45" s="19">
        <f>70-AI45-AH45-AG45</f>
        <v>12</v>
      </c>
      <c r="AK45" s="28">
        <f t="shared" si="36"/>
        <v>70</v>
      </c>
      <c r="AL45" s="19">
        <v>24</v>
      </c>
      <c r="AM45" s="19">
        <f>57-AL45</f>
        <v>33</v>
      </c>
      <c r="AN45" s="19">
        <f>84-AM45-AL45</f>
        <v>27</v>
      </c>
      <c r="AO45" s="19">
        <f>109-AN45-AM45-AL45</f>
        <v>25</v>
      </c>
      <c r="AP45" s="28">
        <f t="shared" si="37"/>
        <v>109</v>
      </c>
      <c r="AQ45" s="19">
        <v>35</v>
      </c>
      <c r="AR45" s="19">
        <f>65-AQ45</f>
        <v>30</v>
      </c>
      <c r="AS45" s="19">
        <f>97-AR45-AQ45</f>
        <v>32</v>
      </c>
      <c r="AT45" s="19">
        <f>120-AS45-AR45-AQ45</f>
        <v>23</v>
      </c>
      <c r="AU45" s="28">
        <f t="shared" si="38"/>
        <v>120</v>
      </c>
      <c r="AV45" s="19">
        <v>33</v>
      </c>
      <c r="AW45" s="19">
        <f>59-AV45</f>
        <v>26</v>
      </c>
      <c r="AX45" s="19">
        <f>91-SUM(AV45:AW45)</f>
        <v>32</v>
      </c>
      <c r="AY45" s="19">
        <f>110-SUM(AV45:AX45)</f>
        <v>19</v>
      </c>
      <c r="AZ45" s="28">
        <f t="shared" si="39"/>
        <v>110</v>
      </c>
      <c r="BA45" s="19">
        <v>36</v>
      </c>
      <c r="BB45" s="19">
        <f>65-BA45</f>
        <v>29</v>
      </c>
      <c r="BC45" s="19">
        <f>92-BB45-BA45</f>
        <v>27</v>
      </c>
      <c r="BD45" s="19">
        <f>113-SUM(BA45:BC45)</f>
        <v>21</v>
      </c>
      <c r="BE45" s="28">
        <f t="shared" si="40"/>
        <v>113</v>
      </c>
      <c r="BF45" s="19">
        <v>36</v>
      </c>
      <c r="BG45" s="19">
        <f>65-BF45</f>
        <v>29</v>
      </c>
      <c r="BH45" s="19">
        <f>86-BF45-BG45</f>
        <v>21</v>
      </c>
      <c r="BI45" s="19">
        <f>98-BH45-BG45-BF45</f>
        <v>12</v>
      </c>
      <c r="BJ45" s="28">
        <f t="shared" si="41"/>
        <v>98</v>
      </c>
      <c r="BK45" s="19">
        <v>14</v>
      </c>
      <c r="BL45" s="19">
        <f>BO45-BK45</f>
        <v>19</v>
      </c>
      <c r="BM45" s="19"/>
      <c r="BN45" s="19"/>
      <c r="BO45" s="28">
        <v>33</v>
      </c>
    </row>
    <row r="46" spans="2:67">
      <c r="B46" s="88" t="s">
        <v>201</v>
      </c>
      <c r="C46" s="89">
        <v>0</v>
      </c>
      <c r="D46" s="89">
        <f>0-C46</f>
        <v>0</v>
      </c>
      <c r="E46" s="89">
        <v>0</v>
      </c>
      <c r="F46" s="90">
        <v>0</v>
      </c>
      <c r="G46" s="28">
        <f t="shared" si="29"/>
        <v>0</v>
      </c>
      <c r="H46" s="89">
        <v>0</v>
      </c>
      <c r="I46" s="19">
        <f>-31-H46</f>
        <v>-31</v>
      </c>
      <c r="J46" s="89">
        <f>-37-H46-I46</f>
        <v>-6</v>
      </c>
      <c r="K46" s="90">
        <f>-46-H46-I46-J46</f>
        <v>-9</v>
      </c>
      <c r="L46" s="28">
        <f t="shared" si="30"/>
        <v>-46</v>
      </c>
      <c r="M46" s="89">
        <v>-1</v>
      </c>
      <c r="N46" s="19">
        <f>-25-M46</f>
        <v>-24</v>
      </c>
      <c r="O46" s="89">
        <f>-536-N46-M46</f>
        <v>-511</v>
      </c>
      <c r="P46" s="89">
        <v>-102</v>
      </c>
      <c r="Q46" s="28">
        <f t="shared" si="31"/>
        <v>-638</v>
      </c>
      <c r="R46" s="19">
        <v>0</v>
      </c>
      <c r="S46" s="19">
        <v>-16</v>
      </c>
      <c r="T46" s="19">
        <f>-16-R46-S46</f>
        <v>0</v>
      </c>
      <c r="U46" s="19">
        <f>-16-T46-S46-R46</f>
        <v>0</v>
      </c>
      <c r="V46" s="28">
        <f t="shared" si="32"/>
        <v>-16</v>
      </c>
      <c r="W46" s="19">
        <v>-2</v>
      </c>
      <c r="X46" s="19">
        <f>-2-W46</f>
        <v>0</v>
      </c>
      <c r="Y46" s="19">
        <f>-2-X46-W46</f>
        <v>0</v>
      </c>
      <c r="Z46" s="19">
        <f>-122-23-Y46-X46-W46</f>
        <v>-143</v>
      </c>
      <c r="AA46" s="28">
        <f t="shared" si="33"/>
        <v>-145</v>
      </c>
      <c r="AB46" s="333">
        <v>-110</v>
      </c>
      <c r="AC46" s="333">
        <v>-124</v>
      </c>
      <c r="AD46" s="19">
        <f>2-103</f>
        <v>-101</v>
      </c>
      <c r="AE46" s="19">
        <v>-28</v>
      </c>
      <c r="AF46" s="28">
        <f t="shared" si="35"/>
        <v>-363</v>
      </c>
      <c r="AG46" s="333">
        <v>-406</v>
      </c>
      <c r="AH46" s="333">
        <f>-733-AG46</f>
        <v>-327</v>
      </c>
      <c r="AI46" s="333">
        <f>-945-AH46-AG46</f>
        <v>-212</v>
      </c>
      <c r="AJ46" s="19">
        <f>-1555-AI46-AH46-AG46</f>
        <v>-610</v>
      </c>
      <c r="AK46" s="28">
        <f t="shared" si="36"/>
        <v>-1555</v>
      </c>
      <c r="AL46" s="333">
        <v>-55</v>
      </c>
      <c r="AM46" s="333">
        <f>-109-AL46</f>
        <v>-54</v>
      </c>
      <c r="AN46" s="333">
        <f>-473-AM46-AL46</f>
        <v>-364</v>
      </c>
      <c r="AO46" s="19">
        <f>-786-AN46-AM46-AL46</f>
        <v>-313</v>
      </c>
      <c r="AP46" s="28">
        <f t="shared" si="37"/>
        <v>-786</v>
      </c>
      <c r="AQ46" s="333">
        <v>-200</v>
      </c>
      <c r="AR46" s="19">
        <f>-231+3-AQ46</f>
        <v>-28</v>
      </c>
      <c r="AS46" s="19">
        <f>-228-AR46-AQ46</f>
        <v>0</v>
      </c>
      <c r="AT46" s="19">
        <f>-228-AS46-AR46-AQ46</f>
        <v>0</v>
      </c>
      <c r="AU46" s="28">
        <f t="shared" si="38"/>
        <v>-228</v>
      </c>
      <c r="AV46" s="333">
        <v>-13</v>
      </c>
      <c r="AW46" s="333">
        <f>-13-AV46</f>
        <v>0</v>
      </c>
      <c r="AX46" s="19">
        <f>-41-SUM(AV46:AW46)</f>
        <v>-28</v>
      </c>
      <c r="AY46" s="19">
        <f>-184-SUM(AV46:AX46)</f>
        <v>-143</v>
      </c>
      <c r="AZ46" s="28">
        <f t="shared" si="39"/>
        <v>-184</v>
      </c>
      <c r="BA46" s="333">
        <v>-126</v>
      </c>
      <c r="BB46" s="333">
        <f>-126-BA46</f>
        <v>0</v>
      </c>
      <c r="BC46" s="19">
        <f>-162-BB46-BA46</f>
        <v>-36</v>
      </c>
      <c r="BD46" s="19">
        <f>-383-SUM(BA46:BC46)</f>
        <v>-221</v>
      </c>
      <c r="BE46" s="28">
        <f t="shared" si="40"/>
        <v>-383</v>
      </c>
      <c r="BF46" s="333">
        <v>-193</v>
      </c>
      <c r="BG46" s="333">
        <f>-367-BF46</f>
        <v>-174</v>
      </c>
      <c r="BH46" s="19">
        <f>-469-BF46-BG46</f>
        <v>-102</v>
      </c>
      <c r="BI46" s="19">
        <f>-726-BH46-BG46-BF46</f>
        <v>-257</v>
      </c>
      <c r="BJ46" s="28">
        <f t="shared" si="41"/>
        <v>-726</v>
      </c>
      <c r="BK46" s="333">
        <v>-151</v>
      </c>
      <c r="BL46" s="333">
        <f>BO46-BK46</f>
        <v>-100</v>
      </c>
      <c r="BM46" s="19"/>
      <c r="BN46" s="19"/>
      <c r="BO46" s="28">
        <v>-251</v>
      </c>
    </row>
    <row r="47" spans="2:67">
      <c r="B47" s="88" t="s">
        <v>202</v>
      </c>
      <c r="C47" s="89"/>
      <c r="D47" s="89"/>
      <c r="E47" s="89"/>
      <c r="F47" s="90"/>
      <c r="G47" s="28">
        <f>SUM(C47:F47)</f>
        <v>0</v>
      </c>
      <c r="H47" s="89"/>
      <c r="I47" s="19"/>
      <c r="J47" s="89"/>
      <c r="K47" s="90"/>
      <c r="L47" s="28">
        <f t="shared" si="30"/>
        <v>0</v>
      </c>
      <c r="M47" s="89">
        <v>1</v>
      </c>
      <c r="N47" s="19">
        <f>1-M47</f>
        <v>0</v>
      </c>
      <c r="O47" s="89">
        <f>1-N47-M47</f>
        <v>0</v>
      </c>
      <c r="P47" s="89">
        <v>0</v>
      </c>
      <c r="Q47" s="28">
        <f t="shared" si="31"/>
        <v>1</v>
      </c>
      <c r="R47" s="19">
        <v>1</v>
      </c>
      <c r="S47" s="19">
        <v>0</v>
      </c>
      <c r="T47" s="19">
        <f>2-R47-S47</f>
        <v>1</v>
      </c>
      <c r="U47" s="19">
        <f>18-T47-S47-R47</f>
        <v>16</v>
      </c>
      <c r="V47" s="28">
        <f t="shared" si="32"/>
        <v>18</v>
      </c>
      <c r="W47" s="19">
        <v>45</v>
      </c>
      <c r="X47" s="19">
        <f>45-W47</f>
        <v>0</v>
      </c>
      <c r="Y47" s="19">
        <f>49-X47-W47</f>
        <v>4</v>
      </c>
      <c r="Z47" s="19">
        <f>123-Y47-X47-W47+1</f>
        <v>75</v>
      </c>
      <c r="AA47" s="28">
        <f>SUM(W47:Z47)-1</f>
        <v>123</v>
      </c>
      <c r="AB47" s="333">
        <v>173</v>
      </c>
      <c r="AC47" s="333">
        <v>194</v>
      </c>
      <c r="AD47" s="333">
        <f>32+43</f>
        <v>75</v>
      </c>
      <c r="AE47" s="19">
        <v>70</v>
      </c>
      <c r="AF47" s="28">
        <f t="shared" ref="AF47:AF62" si="42">SUM(AB47:AE47)</f>
        <v>512</v>
      </c>
      <c r="AG47" s="333">
        <v>154</v>
      </c>
      <c r="AH47" s="333">
        <f>300-AG47</f>
        <v>146</v>
      </c>
      <c r="AI47" s="333">
        <f>477-AH47-AG47</f>
        <v>177</v>
      </c>
      <c r="AJ47" s="19">
        <f>534-AI47-AH47-AG47</f>
        <v>57</v>
      </c>
      <c r="AK47" s="28">
        <f t="shared" ref="AK47:AK62" si="43">SUM(AG47:AJ47)</f>
        <v>534</v>
      </c>
      <c r="AL47" s="333">
        <v>7</v>
      </c>
      <c r="AM47" s="333">
        <f>357-AL47</f>
        <v>350</v>
      </c>
      <c r="AN47" s="333">
        <f>474-AM47-AL47</f>
        <v>117</v>
      </c>
      <c r="AO47" s="19">
        <f>491+3-AN47-AM47-AL47</f>
        <v>20</v>
      </c>
      <c r="AP47" s="28">
        <f t="shared" ref="AP47:AP62" si="44">SUM(AL47:AO47)</f>
        <v>494</v>
      </c>
      <c r="AQ47" s="333">
        <v>121</v>
      </c>
      <c r="AR47" s="19">
        <f>202-AQ47</f>
        <v>81</v>
      </c>
      <c r="AS47" s="19">
        <f>273-AR47-AQ47</f>
        <v>71</v>
      </c>
      <c r="AT47" s="19">
        <f>318-AS47-AR47-AQ47</f>
        <v>45</v>
      </c>
      <c r="AU47" s="28">
        <f t="shared" ref="AU47:AU62" si="45">SUM(AQ47:AT47)</f>
        <v>318</v>
      </c>
      <c r="AV47" s="333">
        <v>74</v>
      </c>
      <c r="AW47" s="333">
        <f>142-AV47</f>
        <v>68</v>
      </c>
      <c r="AX47" s="19">
        <f>173-SUM(AV47:AW47)</f>
        <v>31</v>
      </c>
      <c r="AY47" s="19">
        <f>203-SUM(AV47:AX47)</f>
        <v>30</v>
      </c>
      <c r="AZ47" s="28">
        <f t="shared" ref="AZ47:AZ62" si="46">SUM(AV47:AY47)</f>
        <v>203</v>
      </c>
      <c r="BA47" s="333">
        <v>83</v>
      </c>
      <c r="BB47" s="333">
        <f>148-BA47</f>
        <v>65</v>
      </c>
      <c r="BC47" s="19">
        <f>233-BB47-BA47</f>
        <v>85</v>
      </c>
      <c r="BD47" s="19">
        <f>373-SUM(BA47:BC47)</f>
        <v>140</v>
      </c>
      <c r="BE47" s="28">
        <f t="shared" ref="BE47:BE62" si="47">SUM(BA47:BD47)</f>
        <v>373</v>
      </c>
      <c r="BF47" s="333">
        <v>350</v>
      </c>
      <c r="BG47" s="333">
        <f>711-BF47</f>
        <v>361</v>
      </c>
      <c r="BH47" s="19">
        <f>987-BF47-BG47</f>
        <v>276</v>
      </c>
      <c r="BI47" s="19">
        <f>1206-BH47-BG47-BF47</f>
        <v>219</v>
      </c>
      <c r="BJ47" s="28">
        <f t="shared" si="41"/>
        <v>1206</v>
      </c>
      <c r="BK47" s="333">
        <v>131</v>
      </c>
      <c r="BL47" s="333">
        <f>BO47-BK47</f>
        <v>30</v>
      </c>
      <c r="BM47" s="19"/>
      <c r="BN47" s="19"/>
      <c r="BO47" s="28">
        <v>161</v>
      </c>
    </row>
    <row r="48" spans="2:67">
      <c r="B48" s="88" t="s">
        <v>252</v>
      </c>
      <c r="C48" s="89">
        <v>-5</v>
      </c>
      <c r="D48" s="89">
        <f>-5-C48</f>
        <v>0</v>
      </c>
      <c r="E48" s="89">
        <v>0</v>
      </c>
      <c r="F48" s="90">
        <v>0</v>
      </c>
      <c r="G48" s="28">
        <f t="shared" si="29"/>
        <v>-5</v>
      </c>
      <c r="H48" s="89">
        <v>0</v>
      </c>
      <c r="I48" s="19">
        <v>0</v>
      </c>
      <c r="J48" s="89">
        <v>0</v>
      </c>
      <c r="K48" s="90">
        <v>0</v>
      </c>
      <c r="L48" s="28">
        <f t="shared" si="30"/>
        <v>0</v>
      </c>
      <c r="M48" s="89">
        <v>0</v>
      </c>
      <c r="N48" s="19">
        <v>0</v>
      </c>
      <c r="O48" s="89">
        <f>0-N48-M48</f>
        <v>0</v>
      </c>
      <c r="P48" s="89">
        <v>0</v>
      </c>
      <c r="Q48" s="28">
        <f t="shared" si="31"/>
        <v>0</v>
      </c>
      <c r="R48" s="19">
        <v>0</v>
      </c>
      <c r="S48" s="19">
        <v>0</v>
      </c>
      <c r="T48" s="19">
        <v>0</v>
      </c>
      <c r="U48" s="19">
        <v>0</v>
      </c>
      <c r="V48" s="28">
        <f t="shared" si="32"/>
        <v>0</v>
      </c>
      <c r="W48" s="19">
        <v>0</v>
      </c>
      <c r="X48" s="19">
        <v>0</v>
      </c>
      <c r="Y48" s="19">
        <v>0</v>
      </c>
      <c r="Z48" s="19">
        <v>0</v>
      </c>
      <c r="AA48" s="28">
        <f t="shared" si="33"/>
        <v>0</v>
      </c>
      <c r="AB48" s="333">
        <v>0</v>
      </c>
      <c r="AC48" s="333">
        <v>0</v>
      </c>
      <c r="AD48" s="333">
        <v>0</v>
      </c>
      <c r="AE48" s="19">
        <v>0</v>
      </c>
      <c r="AF48" s="28">
        <f t="shared" si="42"/>
        <v>0</v>
      </c>
      <c r="AG48" s="333">
        <v>0</v>
      </c>
      <c r="AH48" s="333">
        <v>0</v>
      </c>
      <c r="AI48" s="333">
        <v>0</v>
      </c>
      <c r="AJ48" s="19">
        <v>0</v>
      </c>
      <c r="AK48" s="28">
        <f t="shared" si="43"/>
        <v>0</v>
      </c>
      <c r="AL48" s="333">
        <v>0</v>
      </c>
      <c r="AM48" s="333">
        <v>0</v>
      </c>
      <c r="AN48" s="333">
        <v>0</v>
      </c>
      <c r="AO48" s="19">
        <v>0</v>
      </c>
      <c r="AP48" s="28">
        <f t="shared" si="44"/>
        <v>0</v>
      </c>
      <c r="AQ48" s="333">
        <v>0</v>
      </c>
      <c r="AR48" s="333">
        <v>0</v>
      </c>
      <c r="AS48" s="333">
        <v>0</v>
      </c>
      <c r="AT48" s="19">
        <v>0</v>
      </c>
      <c r="AU48" s="28">
        <f t="shared" si="45"/>
        <v>0</v>
      </c>
      <c r="AV48" s="333">
        <v>0</v>
      </c>
      <c r="AW48" s="333">
        <v>0</v>
      </c>
      <c r="AX48" s="333">
        <v>0</v>
      </c>
      <c r="AY48" s="19">
        <v>0</v>
      </c>
      <c r="AZ48" s="28">
        <f t="shared" si="46"/>
        <v>0</v>
      </c>
      <c r="BA48" s="333">
        <v>0</v>
      </c>
      <c r="BB48" s="333">
        <v>0</v>
      </c>
      <c r="BC48" s="333">
        <v>0</v>
      </c>
      <c r="BD48" s="333">
        <v>0</v>
      </c>
      <c r="BE48" s="28">
        <f t="shared" si="47"/>
        <v>0</v>
      </c>
      <c r="BF48" s="333">
        <v>0</v>
      </c>
      <c r="BG48" s="333">
        <v>0</v>
      </c>
      <c r="BH48" s="333">
        <v>0</v>
      </c>
      <c r="BI48" s="333">
        <v>0</v>
      </c>
      <c r="BJ48" s="28">
        <f t="shared" si="41"/>
        <v>0</v>
      </c>
      <c r="BK48" s="333">
        <v>0</v>
      </c>
      <c r="BL48" s="333">
        <f t="shared" si="34"/>
        <v>0</v>
      </c>
      <c r="BM48" s="333"/>
      <c r="BN48" s="333"/>
      <c r="BO48" s="28">
        <v>0</v>
      </c>
    </row>
    <row r="49" spans="2:67">
      <c r="B49" s="88" t="s">
        <v>253</v>
      </c>
      <c r="C49" s="89">
        <v>0</v>
      </c>
      <c r="D49" s="89">
        <f>5-C49</f>
        <v>5</v>
      </c>
      <c r="E49" s="89">
        <v>0</v>
      </c>
      <c r="F49" s="90">
        <v>20</v>
      </c>
      <c r="G49" s="28">
        <f t="shared" si="29"/>
        <v>25</v>
      </c>
      <c r="H49" s="89">
        <v>5</v>
      </c>
      <c r="I49" s="19">
        <f>5-H49</f>
        <v>0</v>
      </c>
      <c r="J49" s="89">
        <f>5-H49-I49</f>
        <v>0</v>
      </c>
      <c r="K49" s="90">
        <f>5-H49-I49-J49</f>
        <v>0</v>
      </c>
      <c r="L49" s="28">
        <f t="shared" si="30"/>
        <v>5</v>
      </c>
      <c r="M49" s="89">
        <v>0</v>
      </c>
      <c r="N49" s="19">
        <v>0</v>
      </c>
      <c r="O49" s="89">
        <f>0-N49-M49</f>
        <v>0</v>
      </c>
      <c r="P49" s="89">
        <v>0</v>
      </c>
      <c r="Q49" s="28">
        <f t="shared" si="31"/>
        <v>0</v>
      </c>
      <c r="R49" s="19">
        <v>0</v>
      </c>
      <c r="S49" s="19">
        <v>0</v>
      </c>
      <c r="T49" s="19">
        <v>0</v>
      </c>
      <c r="U49" s="19">
        <v>0</v>
      </c>
      <c r="V49" s="28">
        <f t="shared" si="32"/>
        <v>0</v>
      </c>
      <c r="W49" s="19">
        <v>0</v>
      </c>
      <c r="X49" s="19">
        <v>0</v>
      </c>
      <c r="Y49" s="19">
        <v>0</v>
      </c>
      <c r="Z49" s="19">
        <v>0</v>
      </c>
      <c r="AA49" s="28">
        <f t="shared" si="33"/>
        <v>0</v>
      </c>
      <c r="AB49" s="333">
        <v>0</v>
      </c>
      <c r="AC49" s="333">
        <v>0</v>
      </c>
      <c r="AD49" s="333">
        <v>0</v>
      </c>
      <c r="AE49" s="19">
        <v>0</v>
      </c>
      <c r="AF49" s="28">
        <f t="shared" si="42"/>
        <v>0</v>
      </c>
      <c r="AG49" s="333">
        <v>0</v>
      </c>
      <c r="AH49" s="333">
        <v>0</v>
      </c>
      <c r="AI49" s="333">
        <v>0</v>
      </c>
      <c r="AJ49" s="19">
        <v>0</v>
      </c>
      <c r="AK49" s="28">
        <f t="shared" si="43"/>
        <v>0</v>
      </c>
      <c r="AL49" s="333">
        <v>0</v>
      </c>
      <c r="AM49" s="333">
        <v>0</v>
      </c>
      <c r="AN49" s="333">
        <v>0</v>
      </c>
      <c r="AO49" s="19">
        <v>0</v>
      </c>
      <c r="AP49" s="28">
        <f t="shared" si="44"/>
        <v>0</v>
      </c>
      <c r="AQ49" s="333">
        <v>0</v>
      </c>
      <c r="AR49" s="333">
        <v>0</v>
      </c>
      <c r="AS49" s="333">
        <v>0</v>
      </c>
      <c r="AT49" s="19">
        <v>0</v>
      </c>
      <c r="AU49" s="28">
        <f t="shared" si="45"/>
        <v>0</v>
      </c>
      <c r="AV49" s="333">
        <v>0</v>
      </c>
      <c r="AW49" s="333">
        <v>0</v>
      </c>
      <c r="AX49" s="333">
        <v>0</v>
      </c>
      <c r="AY49" s="19">
        <v>0</v>
      </c>
      <c r="AZ49" s="28">
        <f t="shared" si="46"/>
        <v>0</v>
      </c>
      <c r="BA49" s="333">
        <v>0</v>
      </c>
      <c r="BB49" s="333">
        <v>0</v>
      </c>
      <c r="BC49" s="333">
        <v>0</v>
      </c>
      <c r="BD49" s="333">
        <v>0</v>
      </c>
      <c r="BE49" s="28">
        <f t="shared" si="47"/>
        <v>0</v>
      </c>
      <c r="BF49" s="333">
        <v>0</v>
      </c>
      <c r="BG49" s="333">
        <v>0</v>
      </c>
      <c r="BH49" s="333">
        <v>0</v>
      </c>
      <c r="BI49" s="333">
        <v>0</v>
      </c>
      <c r="BJ49" s="28">
        <f t="shared" si="41"/>
        <v>0</v>
      </c>
      <c r="BK49" s="333">
        <v>0</v>
      </c>
      <c r="BL49" s="333">
        <f t="shared" si="34"/>
        <v>0</v>
      </c>
      <c r="BM49" s="333"/>
      <c r="BN49" s="333"/>
      <c r="BO49" s="28">
        <v>0</v>
      </c>
    </row>
    <row r="50" spans="2:67">
      <c r="B50" s="88" t="s">
        <v>254</v>
      </c>
      <c r="C50" s="89">
        <v>0</v>
      </c>
      <c r="D50" s="89">
        <v>0</v>
      </c>
      <c r="E50" s="89">
        <v>0</v>
      </c>
      <c r="F50" s="90">
        <v>0</v>
      </c>
      <c r="G50" s="28">
        <f t="shared" si="29"/>
        <v>0</v>
      </c>
      <c r="H50" s="89">
        <v>0</v>
      </c>
      <c r="I50" s="19">
        <v>0</v>
      </c>
      <c r="J50" s="89">
        <v>0</v>
      </c>
      <c r="K50" s="90">
        <v>0</v>
      </c>
      <c r="L50" s="28">
        <f t="shared" si="30"/>
        <v>0</v>
      </c>
      <c r="M50" s="89">
        <v>0</v>
      </c>
      <c r="N50" s="19">
        <v>0</v>
      </c>
      <c r="O50" s="89">
        <f>0-N50-M50</f>
        <v>0</v>
      </c>
      <c r="P50" s="89">
        <v>0</v>
      </c>
      <c r="Q50" s="28">
        <f t="shared" si="31"/>
        <v>0</v>
      </c>
      <c r="R50" s="19">
        <v>0</v>
      </c>
      <c r="S50" s="19">
        <v>0</v>
      </c>
      <c r="T50" s="19">
        <f>4-R50-S50</f>
        <v>4</v>
      </c>
      <c r="U50" s="19">
        <f>5-T50-S50-R50</f>
        <v>1</v>
      </c>
      <c r="V50" s="28">
        <f t="shared" si="32"/>
        <v>5</v>
      </c>
      <c r="W50" s="19">
        <v>0</v>
      </c>
      <c r="X50" s="19">
        <v>0</v>
      </c>
      <c r="Y50" s="19">
        <f>1-X50-W50</f>
        <v>1</v>
      </c>
      <c r="Z50" s="19">
        <f>16-Y50-X50-W50</f>
        <v>15</v>
      </c>
      <c r="AA50" s="28">
        <f t="shared" si="33"/>
        <v>16</v>
      </c>
      <c r="AB50" s="333">
        <v>1</v>
      </c>
      <c r="AC50" s="333">
        <v>1</v>
      </c>
      <c r="AD50" s="333">
        <v>0</v>
      </c>
      <c r="AE50" s="19">
        <v>2</v>
      </c>
      <c r="AF50" s="28">
        <f>SUM(AB50:AE50)</f>
        <v>4</v>
      </c>
      <c r="AG50" s="333">
        <v>0</v>
      </c>
      <c r="AH50" s="333">
        <v>0</v>
      </c>
      <c r="AI50" s="333">
        <f>8-AH50-AG50</f>
        <v>8</v>
      </c>
      <c r="AJ50" s="19">
        <f>10-AI50-AH50-AG50</f>
        <v>2</v>
      </c>
      <c r="AK50" s="28">
        <f>SUM(AG50:AJ50)</f>
        <v>10</v>
      </c>
      <c r="AL50" s="333">
        <v>0</v>
      </c>
      <c r="AM50" s="333">
        <v>0</v>
      </c>
      <c r="AN50" s="333">
        <f>0-AM50-AL50</f>
        <v>0</v>
      </c>
      <c r="AO50" s="19">
        <f>0-AN50-AM50-AL50</f>
        <v>0</v>
      </c>
      <c r="AP50" s="28">
        <f>SUM(AL50:AO50)</f>
        <v>0</v>
      </c>
      <c r="AQ50" s="333">
        <v>0</v>
      </c>
      <c r="AR50" s="333">
        <f>12-AQ50</f>
        <v>12</v>
      </c>
      <c r="AS50" s="333">
        <f>12-AR50-AQ50</f>
        <v>0</v>
      </c>
      <c r="AT50" s="19">
        <f>12-AS50-AR50-AQ50</f>
        <v>0</v>
      </c>
      <c r="AU50" s="28">
        <f>SUM(AQ50:AT50)</f>
        <v>12</v>
      </c>
      <c r="AV50" s="333">
        <v>0</v>
      </c>
      <c r="AW50" s="333">
        <v>0</v>
      </c>
      <c r="AX50" s="333">
        <v>0</v>
      </c>
      <c r="AY50" s="19">
        <v>0</v>
      </c>
      <c r="AZ50" s="28">
        <f>SUM(AV50:AY50)</f>
        <v>0</v>
      </c>
      <c r="BA50" s="333">
        <v>0</v>
      </c>
      <c r="BB50" s="333">
        <v>0</v>
      </c>
      <c r="BC50" s="333">
        <v>0</v>
      </c>
      <c r="BD50" s="333">
        <v>0</v>
      </c>
      <c r="BE50" s="28">
        <f>SUM(BA50:BD50)</f>
        <v>0</v>
      </c>
      <c r="BF50" s="333">
        <v>0</v>
      </c>
      <c r="BG50" s="333">
        <v>0</v>
      </c>
      <c r="BH50" s="333">
        <v>0</v>
      </c>
      <c r="BI50" s="333">
        <v>0</v>
      </c>
      <c r="BJ50" s="28">
        <f t="shared" si="41"/>
        <v>0</v>
      </c>
      <c r="BK50" s="333">
        <v>0</v>
      </c>
      <c r="BL50" s="333">
        <f t="shared" si="34"/>
        <v>0</v>
      </c>
      <c r="BM50" s="333"/>
      <c r="BN50" s="333"/>
      <c r="BO50" s="28">
        <v>0</v>
      </c>
    </row>
    <row r="51" spans="2:67">
      <c r="B51" s="88" t="s">
        <v>492</v>
      </c>
      <c r="C51" s="89">
        <v>-1049</v>
      </c>
      <c r="D51" s="89">
        <f>-1999-C51</f>
        <v>-950</v>
      </c>
      <c r="E51" s="89">
        <v>-757</v>
      </c>
      <c r="F51" s="90">
        <v>-1145</v>
      </c>
      <c r="G51" s="28">
        <f t="shared" si="29"/>
        <v>-3901</v>
      </c>
      <c r="H51" s="89">
        <v>-1303</v>
      </c>
      <c r="I51" s="19">
        <f>-2115-H51</f>
        <v>-812</v>
      </c>
      <c r="J51" s="89">
        <f>-2993-H51-I51</f>
        <v>-878</v>
      </c>
      <c r="K51" s="90">
        <f>-3676-H51-I51-J51</f>
        <v>-683</v>
      </c>
      <c r="L51" s="28">
        <f>SUM(H51:K51)</f>
        <v>-3676</v>
      </c>
      <c r="M51" s="89">
        <v>-1587</v>
      </c>
      <c r="N51" s="19">
        <f>-3015-M51</f>
        <v>-1428</v>
      </c>
      <c r="O51" s="89">
        <f>-5541-N51-M51</f>
        <v>-2526</v>
      </c>
      <c r="P51" s="19">
        <v>-2542</v>
      </c>
      <c r="Q51" s="28">
        <f>SUM(M51:P51)</f>
        <v>-8083</v>
      </c>
      <c r="R51" s="19">
        <v>-2557</v>
      </c>
      <c r="S51" s="19">
        <v>-1443</v>
      </c>
      <c r="T51" s="19">
        <f>-7431-R51-S51</f>
        <v>-3431</v>
      </c>
      <c r="U51" s="19">
        <f>-9628-T51-S51-R51</f>
        <v>-2197</v>
      </c>
      <c r="V51" s="28">
        <f>SUM(R51:U51)</f>
        <v>-9628</v>
      </c>
      <c r="W51" s="19">
        <v>-3535</v>
      </c>
      <c r="X51" s="19">
        <f>-5729-W51</f>
        <v>-2194</v>
      </c>
      <c r="Y51" s="19">
        <f>-8352-X51-W51</f>
        <v>-2623</v>
      </c>
      <c r="Z51" s="19">
        <f>-11184-Y51-X51-W51</f>
        <v>-2832</v>
      </c>
      <c r="AA51" s="28">
        <f>SUM(W51:Z51)</f>
        <v>-11184</v>
      </c>
      <c r="AB51" s="333">
        <v>-1447</v>
      </c>
      <c r="AC51" s="333">
        <v>-1164</v>
      </c>
      <c r="AD51" s="19">
        <v>-1167</v>
      </c>
      <c r="AE51" s="19">
        <v>-1119</v>
      </c>
      <c r="AF51" s="28">
        <f>SUM(AB51:AE51)</f>
        <v>-4897</v>
      </c>
      <c r="AG51" s="333">
        <v>-666</v>
      </c>
      <c r="AH51" s="333">
        <f>-1596-AG51</f>
        <v>-930</v>
      </c>
      <c r="AI51" s="333">
        <f>-3168-AH51-AG51</f>
        <v>-1572</v>
      </c>
      <c r="AJ51" s="19">
        <f>-4753-AI51-AH51-AG51</f>
        <v>-1585</v>
      </c>
      <c r="AK51" s="28">
        <f>SUM(AG51:AJ51)</f>
        <v>-4753</v>
      </c>
      <c r="AL51" s="333">
        <v>-1598</v>
      </c>
      <c r="AM51" s="333">
        <f>-3440-AL51</f>
        <v>-1842</v>
      </c>
      <c r="AN51" s="333">
        <f>-5356-AM51-AL51</f>
        <v>-1916</v>
      </c>
      <c r="AO51" s="19">
        <f>-7240-AN51-AM51-AL51</f>
        <v>-1884</v>
      </c>
      <c r="AP51" s="28">
        <f>SUM(AL51:AO51)</f>
        <v>-7240</v>
      </c>
      <c r="AQ51" s="333">
        <v>-2663</v>
      </c>
      <c r="AR51" s="333">
        <f>-4583-AQ51</f>
        <v>-1920</v>
      </c>
      <c r="AS51" s="333">
        <f>-6793-AR51-AQ51</f>
        <v>-2210</v>
      </c>
      <c r="AT51" s="19">
        <f>-8739-AS51-AR51-AQ51</f>
        <v>-1946</v>
      </c>
      <c r="AU51" s="28">
        <f>SUM(AQ51:AT51)</f>
        <v>-8739</v>
      </c>
      <c r="AV51" s="333">
        <v>-2152</v>
      </c>
      <c r="AW51" s="333">
        <f>-4007-AV51</f>
        <v>-1855</v>
      </c>
      <c r="AX51" s="333">
        <f>-6439-SUM(AV51:AW51)</f>
        <v>-2432</v>
      </c>
      <c r="AY51" s="19">
        <f>-7990-SUM(AV51:AX51)</f>
        <v>-1551</v>
      </c>
      <c r="AZ51" s="28">
        <f>SUM(AV51:AY51)</f>
        <v>-7990</v>
      </c>
      <c r="BA51" s="333">
        <v>-2036</v>
      </c>
      <c r="BB51" s="333">
        <f>-4010-BA51</f>
        <v>-1974</v>
      </c>
      <c r="BC51" s="333">
        <f>-6541-BB51-BA51</f>
        <v>-2531</v>
      </c>
      <c r="BD51" s="19">
        <f>-8636-SUM(BA51:BC51)</f>
        <v>-2095</v>
      </c>
      <c r="BE51" s="28">
        <f>SUM(BA51:BD51)</f>
        <v>-8636</v>
      </c>
      <c r="BF51" s="333">
        <v>-2013</v>
      </c>
      <c r="BG51" s="333">
        <f>-4161-BF51</f>
        <v>-2148</v>
      </c>
      <c r="BH51" s="333">
        <f>-6410-BF51-BG51</f>
        <v>-2249</v>
      </c>
      <c r="BI51" s="19">
        <f>-8200-BH51-BG51-BF51</f>
        <v>-1790</v>
      </c>
      <c r="BJ51" s="28">
        <f t="shared" si="41"/>
        <v>-8200</v>
      </c>
      <c r="BK51" s="333">
        <v>-2071</v>
      </c>
      <c r="BL51" s="333">
        <f t="shared" si="34"/>
        <v>-2055</v>
      </c>
      <c r="BM51" s="333"/>
      <c r="BN51" s="19"/>
      <c r="BO51" s="28">
        <v>-4126</v>
      </c>
    </row>
    <row r="52" spans="2:67">
      <c r="B52" s="88" t="s">
        <v>207</v>
      </c>
      <c r="C52" s="89"/>
      <c r="D52" s="89"/>
      <c r="E52" s="89"/>
      <c r="F52" s="90"/>
      <c r="G52" s="28"/>
      <c r="H52" s="89"/>
      <c r="I52" s="19"/>
      <c r="J52" s="89"/>
      <c r="K52" s="90"/>
      <c r="L52" s="28"/>
      <c r="M52" s="89"/>
      <c r="N52" s="19"/>
      <c r="O52" s="89"/>
      <c r="P52" s="19"/>
      <c r="Q52" s="28"/>
      <c r="R52" s="19"/>
      <c r="S52" s="19"/>
      <c r="T52" s="19"/>
      <c r="U52" s="19"/>
      <c r="V52" s="28"/>
      <c r="W52" s="19"/>
      <c r="X52" s="19"/>
      <c r="Y52" s="19"/>
      <c r="Z52" s="19"/>
      <c r="AA52" s="28"/>
      <c r="AB52" s="333"/>
      <c r="AC52" s="333"/>
      <c r="AD52" s="19"/>
      <c r="AE52" s="19"/>
      <c r="AF52" s="28"/>
      <c r="AG52" s="333"/>
      <c r="AH52" s="333"/>
      <c r="AI52" s="333"/>
      <c r="AJ52" s="19"/>
      <c r="AK52" s="28"/>
      <c r="AL52" s="333">
        <v>0</v>
      </c>
      <c r="AM52" s="333">
        <v>0</v>
      </c>
      <c r="AN52" s="333">
        <v>0</v>
      </c>
      <c r="AO52" s="19">
        <v>0</v>
      </c>
      <c r="AP52" s="28">
        <f>SUM(AL52:AO52)</f>
        <v>0</v>
      </c>
      <c r="AQ52" s="333">
        <v>0</v>
      </c>
      <c r="AR52" s="333">
        <v>0</v>
      </c>
      <c r="AS52" s="333">
        <v>0</v>
      </c>
      <c r="AT52" s="19">
        <f>-49-AS52-AR52-AQ52</f>
        <v>-49</v>
      </c>
      <c r="AU52" s="28">
        <f>SUM(AQ52:AT52)</f>
        <v>-49</v>
      </c>
      <c r="AV52" s="333">
        <v>0</v>
      </c>
      <c r="AW52" s="333">
        <v>0</v>
      </c>
      <c r="AX52" s="333">
        <v>0</v>
      </c>
      <c r="AY52" s="19">
        <v>0</v>
      </c>
      <c r="AZ52" s="28">
        <f>SUM(AV52:AY52)</f>
        <v>0</v>
      </c>
      <c r="BA52" s="333">
        <v>0</v>
      </c>
      <c r="BB52" s="333">
        <v>0</v>
      </c>
      <c r="BC52" s="333">
        <v>0</v>
      </c>
      <c r="BD52" s="333">
        <v>0</v>
      </c>
      <c r="BE52" s="28">
        <f>SUM(BA52:BD52)</f>
        <v>0</v>
      </c>
      <c r="BF52" s="333">
        <v>0</v>
      </c>
      <c r="BG52" s="333">
        <v>0</v>
      </c>
      <c r="BH52" s="333">
        <v>0</v>
      </c>
      <c r="BI52" s="333">
        <v>0</v>
      </c>
      <c r="BJ52" s="28">
        <f t="shared" si="41"/>
        <v>0</v>
      </c>
      <c r="BK52" s="333">
        <v>0</v>
      </c>
      <c r="BL52" s="333">
        <f t="shared" si="34"/>
        <v>0</v>
      </c>
      <c r="BM52" s="333"/>
      <c r="BN52" s="333"/>
      <c r="BO52" s="28">
        <v>0</v>
      </c>
    </row>
    <row r="53" spans="2:67">
      <c r="B53" s="88" t="s">
        <v>208</v>
      </c>
      <c r="C53" s="89"/>
      <c r="D53" s="89"/>
      <c r="E53" s="89"/>
      <c r="F53" s="90"/>
      <c r="G53" s="28"/>
      <c r="H53" s="89"/>
      <c r="I53" s="19"/>
      <c r="J53" s="89"/>
      <c r="K53" s="90"/>
      <c r="L53" s="28"/>
      <c r="M53" s="89"/>
      <c r="N53" s="19"/>
      <c r="O53" s="89"/>
      <c r="P53" s="19"/>
      <c r="Q53" s="28"/>
      <c r="R53" s="19"/>
      <c r="S53" s="19"/>
      <c r="T53" s="19"/>
      <c r="U53" s="19"/>
      <c r="V53" s="28"/>
      <c r="W53" s="19"/>
      <c r="X53" s="19"/>
      <c r="Y53" s="19"/>
      <c r="Z53" s="19"/>
      <c r="AA53" s="28"/>
      <c r="AB53" s="333"/>
      <c r="AC53" s="333"/>
      <c r="AD53" s="19"/>
      <c r="AE53" s="19"/>
      <c r="AF53" s="28"/>
      <c r="AG53" s="333"/>
      <c r="AH53" s="333"/>
      <c r="AI53" s="333"/>
      <c r="AJ53" s="19"/>
      <c r="AK53" s="28"/>
      <c r="AL53" s="333"/>
      <c r="AM53" s="333"/>
      <c r="AN53" s="333"/>
      <c r="AO53" s="19"/>
      <c r="AP53" s="28"/>
      <c r="AQ53" s="333"/>
      <c r="AR53" s="333"/>
      <c r="AS53" s="333"/>
      <c r="AT53" s="19"/>
      <c r="AU53" s="28"/>
      <c r="AV53" s="333"/>
      <c r="AW53" s="333"/>
      <c r="AX53" s="333"/>
      <c r="AY53" s="19"/>
      <c r="AZ53" s="28"/>
      <c r="BA53" s="333">
        <v>0</v>
      </c>
      <c r="BB53" s="333">
        <v>0</v>
      </c>
      <c r="BC53" s="333">
        <v>0</v>
      </c>
      <c r="BD53" s="333">
        <v>0</v>
      </c>
      <c r="BE53" s="28">
        <f>SUM(BA53:BD53)</f>
        <v>0</v>
      </c>
      <c r="BF53" s="333">
        <v>0</v>
      </c>
      <c r="BG53" s="333">
        <v>0</v>
      </c>
      <c r="BH53" s="333">
        <f>56-SUM(BF53:BG53)</f>
        <v>56</v>
      </c>
      <c r="BI53" s="333">
        <f>56-BH53-BG53-BF53</f>
        <v>0</v>
      </c>
      <c r="BJ53" s="28">
        <f>SUM(BF53:BI53)</f>
        <v>56</v>
      </c>
      <c r="BK53" s="333">
        <v>0</v>
      </c>
      <c r="BL53" s="333">
        <f t="shared" si="34"/>
        <v>0</v>
      </c>
      <c r="BM53" s="333"/>
      <c r="BN53" s="333"/>
      <c r="BO53" s="28">
        <v>0</v>
      </c>
    </row>
    <row r="54" spans="2:67">
      <c r="B54" s="176" t="s">
        <v>493</v>
      </c>
      <c r="C54" s="89">
        <v>952</v>
      </c>
      <c r="D54" s="89">
        <f>1741-C54</f>
        <v>789</v>
      </c>
      <c r="E54" s="89">
        <v>1129</v>
      </c>
      <c r="F54" s="90">
        <v>1228</v>
      </c>
      <c r="G54" s="28">
        <f t="shared" si="29"/>
        <v>4098</v>
      </c>
      <c r="H54" s="89">
        <v>1321</v>
      </c>
      <c r="I54" s="19">
        <f>2156-H54</f>
        <v>835</v>
      </c>
      <c r="J54" s="89">
        <f>3055-H54-I54</f>
        <v>899</v>
      </c>
      <c r="K54" s="90">
        <f>3795-H54-I54-J54</f>
        <v>740</v>
      </c>
      <c r="L54" s="28">
        <f t="shared" si="30"/>
        <v>3795</v>
      </c>
      <c r="M54" s="89">
        <v>1515</v>
      </c>
      <c r="N54" s="19">
        <f>2708-M54</f>
        <v>1193</v>
      </c>
      <c r="O54" s="89">
        <f>4911-N54-M54</f>
        <v>2203</v>
      </c>
      <c r="P54" s="89">
        <v>2848</v>
      </c>
      <c r="Q54" s="28">
        <f t="shared" si="31"/>
        <v>7759</v>
      </c>
      <c r="R54" s="19">
        <v>2604</v>
      </c>
      <c r="S54" s="19">
        <v>977</v>
      </c>
      <c r="T54" s="19">
        <f>7592-R54-S54</f>
        <v>4011</v>
      </c>
      <c r="U54" s="19">
        <f>9953-T54-S54-R54</f>
        <v>2361</v>
      </c>
      <c r="V54" s="28">
        <f t="shared" si="32"/>
        <v>9953</v>
      </c>
      <c r="W54" s="19">
        <v>3325</v>
      </c>
      <c r="X54" s="19">
        <f>5626-W54</f>
        <v>2301</v>
      </c>
      <c r="Y54" s="19">
        <f>8067-X54-W54</f>
        <v>2441</v>
      </c>
      <c r="Z54" s="19">
        <f>10965-Y54-X54-W54</f>
        <v>2898</v>
      </c>
      <c r="AA54" s="28">
        <f t="shared" si="33"/>
        <v>10965</v>
      </c>
      <c r="AB54" s="333">
        <v>1551</v>
      </c>
      <c r="AC54" s="333">
        <v>1152</v>
      </c>
      <c r="AD54" s="333">
        <v>1139</v>
      </c>
      <c r="AE54" s="19">
        <v>1031</v>
      </c>
      <c r="AF54" s="28">
        <f t="shared" si="42"/>
        <v>4873</v>
      </c>
      <c r="AG54" s="333">
        <v>763</v>
      </c>
      <c r="AH54" s="333">
        <f>1582-AG54</f>
        <v>819</v>
      </c>
      <c r="AI54" s="333">
        <f>3172-AH54-AG54</f>
        <v>1590</v>
      </c>
      <c r="AJ54" s="19">
        <f>4909-AI54-AH54-AG54-1</f>
        <v>1736</v>
      </c>
      <c r="AK54" s="28">
        <f>SUM(AG54:AJ54)+1</f>
        <v>4909</v>
      </c>
      <c r="AL54" s="333">
        <v>1358</v>
      </c>
      <c r="AM54" s="333">
        <f>3103-AL54</f>
        <v>1745</v>
      </c>
      <c r="AN54" s="333">
        <f>5236-AM54-AL54</f>
        <v>2133</v>
      </c>
      <c r="AO54" s="19">
        <f>7186-AN54-AM54-AL54</f>
        <v>1950</v>
      </c>
      <c r="AP54" s="28">
        <f>SUM(AL54:AO54)</f>
        <v>7186</v>
      </c>
      <c r="AQ54" s="333">
        <v>2709</v>
      </c>
      <c r="AR54" s="333">
        <f>4335-AQ54</f>
        <v>1626</v>
      </c>
      <c r="AS54" s="19">
        <f>6666-AR54-AQ54</f>
        <v>2331</v>
      </c>
      <c r="AT54" s="19">
        <f>8890-AS54-AR54-AQ54</f>
        <v>2224</v>
      </c>
      <c r="AU54" s="28">
        <f>SUM(AQ54:AT54)</f>
        <v>8890</v>
      </c>
      <c r="AV54" s="333">
        <v>2106</v>
      </c>
      <c r="AW54" s="333">
        <f>3796-AV54</f>
        <v>1690</v>
      </c>
      <c r="AX54" s="19">
        <f>6316-SUM(AV54:AW54)</f>
        <v>2520</v>
      </c>
      <c r="AY54" s="19">
        <f>7818-SUM(AV54:AX54)</f>
        <v>1502</v>
      </c>
      <c r="AZ54" s="28">
        <f>SUM(AV54:AY54)</f>
        <v>7818</v>
      </c>
      <c r="BA54" s="333">
        <v>1915</v>
      </c>
      <c r="BB54" s="333">
        <f>4069-BA54</f>
        <v>2154</v>
      </c>
      <c r="BC54" s="19">
        <f>6534-BB54-BA54</f>
        <v>2465</v>
      </c>
      <c r="BD54" s="19">
        <f>8747-SUM(BA54:BC54)</f>
        <v>2213</v>
      </c>
      <c r="BE54" s="28">
        <f>SUM(BA54:BD54)</f>
        <v>8747</v>
      </c>
      <c r="BF54" s="333">
        <v>1839</v>
      </c>
      <c r="BG54" s="333">
        <f>3801-BF54</f>
        <v>1962</v>
      </c>
      <c r="BH54" s="19">
        <f>6430-BF54-BG54</f>
        <v>2629</v>
      </c>
      <c r="BI54" s="19">
        <f>8178-BH54-BG54-BF54</f>
        <v>1748</v>
      </c>
      <c r="BJ54" s="28">
        <f t="shared" si="41"/>
        <v>8178</v>
      </c>
      <c r="BK54" s="333">
        <v>2260</v>
      </c>
      <c r="BL54" s="333">
        <f t="shared" si="34"/>
        <v>1601</v>
      </c>
      <c r="BM54" s="19"/>
      <c r="BN54" s="19"/>
      <c r="BO54" s="28">
        <v>3861</v>
      </c>
    </row>
    <row r="55" spans="2:67">
      <c r="B55" s="88" t="s">
        <v>195</v>
      </c>
      <c r="C55" s="89"/>
      <c r="D55" s="89"/>
      <c r="E55" s="89"/>
      <c r="F55" s="90"/>
      <c r="G55" s="28">
        <f t="shared" si="29"/>
        <v>0</v>
      </c>
      <c r="H55" s="89">
        <v>0</v>
      </c>
      <c r="I55" s="19">
        <f>-2-H55</f>
        <v>-2</v>
      </c>
      <c r="J55" s="89">
        <f>-3-H55-I55</f>
        <v>-1</v>
      </c>
      <c r="K55" s="90">
        <f>-3-H55-I55-J55</f>
        <v>0</v>
      </c>
      <c r="L55" s="28">
        <f>SUM(H55:K55)</f>
        <v>-3</v>
      </c>
      <c r="M55" s="89">
        <v>0</v>
      </c>
      <c r="N55" s="19">
        <f>-1-M55</f>
        <v>-1</v>
      </c>
      <c r="O55" s="89">
        <f>-3-N55-M55</f>
        <v>-2</v>
      </c>
      <c r="P55" s="89">
        <v>-1</v>
      </c>
      <c r="Q55" s="28">
        <f>SUM(M55:P55)</f>
        <v>-4</v>
      </c>
      <c r="R55" s="19">
        <v>-1</v>
      </c>
      <c r="S55" s="19">
        <v>-1</v>
      </c>
      <c r="T55" s="19">
        <f>-2-R55-S55</f>
        <v>0</v>
      </c>
      <c r="U55" s="19">
        <f>-4-T55-S55-R55</f>
        <v>-2</v>
      </c>
      <c r="V55" s="28">
        <f>SUM(R55:U55)</f>
        <v>-4</v>
      </c>
      <c r="W55" s="19">
        <v>-1</v>
      </c>
      <c r="X55" s="19">
        <f>-1-W55</f>
        <v>0</v>
      </c>
      <c r="Y55" s="19">
        <f>-3-X55-W55</f>
        <v>-2</v>
      </c>
      <c r="Z55" s="19">
        <f>-3-Y55-X55-W55</f>
        <v>0</v>
      </c>
      <c r="AA55" s="28">
        <f>SUM(W55:Z55)</f>
        <v>-3</v>
      </c>
      <c r="AB55" s="333">
        <v>-2</v>
      </c>
      <c r="AC55" s="333">
        <v>0</v>
      </c>
      <c r="AD55" s="333">
        <v>-1</v>
      </c>
      <c r="AE55" s="19">
        <v>-1</v>
      </c>
      <c r="AF55" s="28">
        <f t="shared" si="42"/>
        <v>-4</v>
      </c>
      <c r="AG55" s="333">
        <v>0</v>
      </c>
      <c r="AH55" s="333">
        <v>0</v>
      </c>
      <c r="AI55" s="333">
        <f>-6-AH55-AG55</f>
        <v>-6</v>
      </c>
      <c r="AJ55" s="19">
        <f>-3-6-AI55-AH55-AG55</f>
        <v>-3</v>
      </c>
      <c r="AK55" s="28">
        <f t="shared" si="43"/>
        <v>-9</v>
      </c>
      <c r="AL55" s="333">
        <v>-3</v>
      </c>
      <c r="AM55" s="333">
        <f>-3-AL55-2</f>
        <v>-2</v>
      </c>
      <c r="AN55" s="333">
        <f>-3-3-AM55-AL55</f>
        <v>-1</v>
      </c>
      <c r="AO55" s="19">
        <f>-3-3-AN55-AM55-AL55</f>
        <v>0</v>
      </c>
      <c r="AP55" s="28">
        <f t="shared" si="44"/>
        <v>-6</v>
      </c>
      <c r="AQ55" s="333">
        <v>-1</v>
      </c>
      <c r="AR55" s="333">
        <f>-2-AQ55</f>
        <v>-1</v>
      </c>
      <c r="AS55" s="333">
        <f>-2-AR55-AQ55</f>
        <v>0</v>
      </c>
      <c r="AT55" s="19">
        <f>-2-AS55-AR55-AQ55</f>
        <v>0</v>
      </c>
      <c r="AU55" s="28">
        <f t="shared" si="45"/>
        <v>-2</v>
      </c>
      <c r="AV55" s="333">
        <v>0</v>
      </c>
      <c r="AW55" s="333">
        <f>-1-AV55</f>
        <v>-1</v>
      </c>
      <c r="AX55" s="333">
        <f>-1-AW55-AV55</f>
        <v>0</v>
      </c>
      <c r="AY55" s="19">
        <f>-2-SUM(AV55:AX55)</f>
        <v>-1</v>
      </c>
      <c r="AZ55" s="28">
        <f t="shared" si="46"/>
        <v>-2</v>
      </c>
      <c r="BA55" s="333">
        <v>-1</v>
      </c>
      <c r="BB55" s="333">
        <f>-2-BA55</f>
        <v>-1</v>
      </c>
      <c r="BC55" s="333">
        <f>-5-BB55-BA55</f>
        <v>-3</v>
      </c>
      <c r="BD55" s="19">
        <f>-7-SUM(BA55:BC55)</f>
        <v>-2</v>
      </c>
      <c r="BE55" s="28">
        <f t="shared" si="47"/>
        <v>-7</v>
      </c>
      <c r="BF55" s="333">
        <v>-2</v>
      </c>
      <c r="BG55" s="333">
        <f>-3-BF55</f>
        <v>-1</v>
      </c>
      <c r="BH55" s="333">
        <f>-4-BF55-BG55</f>
        <v>-1</v>
      </c>
      <c r="BI55" s="19">
        <f>-4-BH55-BG55-BF55</f>
        <v>0</v>
      </c>
      <c r="BJ55" s="28">
        <f t="shared" si="41"/>
        <v>-4</v>
      </c>
      <c r="BK55" s="333">
        <v>-19</v>
      </c>
      <c r="BL55" s="333">
        <f t="shared" si="34"/>
        <v>-3</v>
      </c>
      <c r="BM55" s="333"/>
      <c r="BN55" s="19"/>
      <c r="BO55" s="28">
        <v>-22</v>
      </c>
    </row>
    <row r="56" spans="2:67">
      <c r="B56" s="392" t="s">
        <v>196</v>
      </c>
      <c r="C56" s="89"/>
      <c r="D56" s="89"/>
      <c r="E56" s="89"/>
      <c r="F56" s="90"/>
      <c r="G56" s="28"/>
      <c r="H56" s="89"/>
      <c r="I56" s="19"/>
      <c r="J56" s="89"/>
      <c r="K56" s="90"/>
      <c r="L56" s="28"/>
      <c r="M56" s="89"/>
      <c r="N56" s="19"/>
      <c r="O56" s="89"/>
      <c r="P56" s="89"/>
      <c r="Q56" s="28"/>
      <c r="R56" s="19"/>
      <c r="S56" s="19"/>
      <c r="T56" s="19"/>
      <c r="U56" s="19"/>
      <c r="V56" s="28"/>
      <c r="W56" s="19">
        <v>0</v>
      </c>
      <c r="X56" s="19">
        <v>0</v>
      </c>
      <c r="Y56" s="19">
        <v>0</v>
      </c>
      <c r="Z56" s="19">
        <f>-37-Y56-X56-W56</f>
        <v>-37</v>
      </c>
      <c r="AA56" s="28">
        <f>SUM(W56:Z56)</f>
        <v>-37</v>
      </c>
      <c r="AB56" s="333">
        <v>30</v>
      </c>
      <c r="AC56" s="333">
        <v>7</v>
      </c>
      <c r="AD56" s="333">
        <v>0</v>
      </c>
      <c r="AE56" s="19">
        <v>0</v>
      </c>
      <c r="AF56" s="28">
        <f t="shared" si="42"/>
        <v>37</v>
      </c>
      <c r="AG56" s="333">
        <v>0</v>
      </c>
      <c r="AH56" s="333">
        <f>0-AG56</f>
        <v>0</v>
      </c>
      <c r="AI56" s="333">
        <v>0</v>
      </c>
      <c r="AJ56" s="19">
        <v>0</v>
      </c>
      <c r="AK56" s="28">
        <f t="shared" si="43"/>
        <v>0</v>
      </c>
      <c r="AL56" s="333">
        <v>-43</v>
      </c>
      <c r="AM56" s="333">
        <f>-57-AL56</f>
        <v>-14</v>
      </c>
      <c r="AN56" s="333">
        <f>-57-AM56-AL56</f>
        <v>0</v>
      </c>
      <c r="AO56" s="19">
        <f>-57-AN56-AM56-AL56</f>
        <v>0</v>
      </c>
      <c r="AP56" s="28">
        <f t="shared" si="44"/>
        <v>-57</v>
      </c>
      <c r="AQ56" s="333">
        <v>0</v>
      </c>
      <c r="AR56" s="333">
        <f>0-AQ56</f>
        <v>0</v>
      </c>
      <c r="AS56" s="19">
        <f>-43-AR56-AQ56</f>
        <v>-43</v>
      </c>
      <c r="AT56" s="19">
        <f>-59-AS56-AR56-AQ56</f>
        <v>-16</v>
      </c>
      <c r="AU56" s="28">
        <f t="shared" si="45"/>
        <v>-59</v>
      </c>
      <c r="AV56" s="333">
        <v>0</v>
      </c>
      <c r="AW56" s="333">
        <v>0</v>
      </c>
      <c r="AX56" s="19">
        <v>0</v>
      </c>
      <c r="AY56" s="19">
        <v>0</v>
      </c>
      <c r="AZ56" s="28">
        <f t="shared" si="46"/>
        <v>0</v>
      </c>
      <c r="BA56" s="333">
        <v>0</v>
      </c>
      <c r="BB56" s="333">
        <v>0</v>
      </c>
      <c r="BC56" s="19">
        <v>0</v>
      </c>
      <c r="BD56" s="19">
        <v>0</v>
      </c>
      <c r="BE56" s="28">
        <f t="shared" si="47"/>
        <v>0</v>
      </c>
      <c r="BF56" s="19">
        <v>0</v>
      </c>
      <c r="BG56" s="333">
        <v>0</v>
      </c>
      <c r="BH56" s="19">
        <f>-204-BF56-BG56</f>
        <v>-204</v>
      </c>
      <c r="BI56" s="19">
        <f>-204-BH56-BG56-BF56</f>
        <v>0</v>
      </c>
      <c r="BJ56" s="28">
        <f t="shared" si="41"/>
        <v>-204</v>
      </c>
      <c r="BK56" s="19">
        <v>0</v>
      </c>
      <c r="BL56" s="333">
        <f t="shared" si="34"/>
        <v>0</v>
      </c>
      <c r="BM56" s="19"/>
      <c r="BN56" s="19"/>
      <c r="BO56" s="28">
        <v>0</v>
      </c>
    </row>
    <row r="57" spans="2:67">
      <c r="B57" s="392" t="s">
        <v>197</v>
      </c>
      <c r="C57" s="89"/>
      <c r="D57" s="89"/>
      <c r="E57" s="89"/>
      <c r="F57" s="90"/>
      <c r="G57" s="28"/>
      <c r="H57" s="89"/>
      <c r="I57" s="19"/>
      <c r="J57" s="89"/>
      <c r="K57" s="90"/>
      <c r="L57" s="28"/>
      <c r="M57" s="89"/>
      <c r="N57" s="19"/>
      <c r="O57" s="89"/>
      <c r="P57" s="89"/>
      <c r="Q57" s="28"/>
      <c r="R57" s="19"/>
      <c r="S57" s="19"/>
      <c r="T57" s="19"/>
      <c r="U57" s="19"/>
      <c r="V57" s="28"/>
      <c r="W57" s="19"/>
      <c r="X57" s="19"/>
      <c r="Y57" s="19"/>
      <c r="Z57" s="19"/>
      <c r="AA57" s="28"/>
      <c r="AB57" s="333">
        <v>0</v>
      </c>
      <c r="AC57" s="333">
        <v>0</v>
      </c>
      <c r="AD57" s="333">
        <v>0</v>
      </c>
      <c r="AE57" s="19">
        <v>0</v>
      </c>
      <c r="AF57" s="28">
        <f t="shared" si="42"/>
        <v>0</v>
      </c>
      <c r="AG57" s="333">
        <v>0</v>
      </c>
      <c r="AH57" s="333">
        <v>0</v>
      </c>
      <c r="AI57" s="333">
        <v>0</v>
      </c>
      <c r="AJ57" s="19">
        <v>0</v>
      </c>
      <c r="AK57" s="28">
        <f t="shared" si="43"/>
        <v>0</v>
      </c>
      <c r="AL57" s="333">
        <v>0</v>
      </c>
      <c r="AM57" s="333">
        <f>57-AL57</f>
        <v>57</v>
      </c>
      <c r="AN57" s="333">
        <f>57-AM57-AL57</f>
        <v>0</v>
      </c>
      <c r="AO57" s="19">
        <f>57-AN57-AM57-AL57</f>
        <v>0</v>
      </c>
      <c r="AP57" s="28">
        <f t="shared" si="44"/>
        <v>57</v>
      </c>
      <c r="AQ57" s="333">
        <v>0</v>
      </c>
      <c r="AR57" s="333">
        <f>0-AQ57</f>
        <v>0</v>
      </c>
      <c r="AS57" s="19">
        <f>0-AR57-AQ57</f>
        <v>0</v>
      </c>
      <c r="AT57" s="19">
        <f>59-AS57-AR57-AQ57</f>
        <v>59</v>
      </c>
      <c r="AU57" s="28">
        <f t="shared" si="45"/>
        <v>59</v>
      </c>
      <c r="AV57" s="333">
        <v>0</v>
      </c>
      <c r="AW57" s="333">
        <v>0</v>
      </c>
      <c r="AX57" s="19">
        <v>0</v>
      </c>
      <c r="AY57" s="19">
        <v>0</v>
      </c>
      <c r="AZ57" s="28">
        <f t="shared" si="46"/>
        <v>0</v>
      </c>
      <c r="BA57" s="333">
        <v>0</v>
      </c>
      <c r="BB57" s="333">
        <v>0</v>
      </c>
      <c r="BC57" s="19">
        <v>0</v>
      </c>
      <c r="BD57" s="19">
        <v>0</v>
      </c>
      <c r="BE57" s="28">
        <f t="shared" si="47"/>
        <v>0</v>
      </c>
      <c r="BF57" s="19">
        <v>0</v>
      </c>
      <c r="BG57" s="333">
        <v>0</v>
      </c>
      <c r="BH57" s="19">
        <f>204-BF57-BG57</f>
        <v>204</v>
      </c>
      <c r="BI57" s="19">
        <f>204-BH57-BG57-BF57</f>
        <v>0</v>
      </c>
      <c r="BJ57" s="28">
        <f t="shared" si="41"/>
        <v>204</v>
      </c>
      <c r="BK57" s="19">
        <v>0</v>
      </c>
      <c r="BL57" s="333">
        <f t="shared" si="34"/>
        <v>0</v>
      </c>
      <c r="BM57" s="19"/>
      <c r="BN57" s="19"/>
      <c r="BO57" s="28">
        <v>0</v>
      </c>
    </row>
    <row r="58" spans="2:67">
      <c r="B58" s="88" t="s">
        <v>199</v>
      </c>
      <c r="C58" s="89">
        <v>0</v>
      </c>
      <c r="D58" s="89">
        <v>0</v>
      </c>
      <c r="E58" s="89">
        <v>0</v>
      </c>
      <c r="F58" s="90">
        <v>0</v>
      </c>
      <c r="G58" s="28">
        <f t="shared" si="29"/>
        <v>0</v>
      </c>
      <c r="H58" s="89">
        <v>0</v>
      </c>
      <c r="I58" s="19">
        <v>0</v>
      </c>
      <c r="J58" s="89">
        <v>0</v>
      </c>
      <c r="K58" s="90">
        <v>0</v>
      </c>
      <c r="L58" s="28">
        <f t="shared" si="30"/>
        <v>0</v>
      </c>
      <c r="M58" s="89">
        <v>0</v>
      </c>
      <c r="N58" s="19">
        <v>0</v>
      </c>
      <c r="O58" s="89">
        <f>0-N58-M58</f>
        <v>0</v>
      </c>
      <c r="P58" s="89">
        <v>-1167</v>
      </c>
      <c r="Q58" s="28">
        <f t="shared" si="31"/>
        <v>-1167</v>
      </c>
      <c r="R58" s="19">
        <v>-44</v>
      </c>
      <c r="S58" s="19">
        <v>-22</v>
      </c>
      <c r="T58" s="19">
        <f>-352-R58-S58</f>
        <v>-286</v>
      </c>
      <c r="U58" s="19">
        <f>-1032-T58-S58-R58</f>
        <v>-680</v>
      </c>
      <c r="V58" s="28">
        <f t="shared" si="32"/>
        <v>-1032</v>
      </c>
      <c r="W58" s="19">
        <v>0</v>
      </c>
      <c r="X58" s="19">
        <f>-183-W58</f>
        <v>-183</v>
      </c>
      <c r="Y58" s="19">
        <f>-253-X58-W58</f>
        <v>-70</v>
      </c>
      <c r="Z58" s="19">
        <f>-342-Y58-X58-W58</f>
        <v>-89</v>
      </c>
      <c r="AA58" s="28">
        <f t="shared" si="33"/>
        <v>-342</v>
      </c>
      <c r="AB58" s="333">
        <v>0</v>
      </c>
      <c r="AC58" s="333">
        <v>0</v>
      </c>
      <c r="AD58" s="19">
        <v>0</v>
      </c>
      <c r="AE58" s="19">
        <v>-156</v>
      </c>
      <c r="AF58" s="28">
        <f t="shared" si="42"/>
        <v>-156</v>
      </c>
      <c r="AG58" s="333">
        <v>0</v>
      </c>
      <c r="AH58" s="333">
        <v>0</v>
      </c>
      <c r="AI58" s="333">
        <v>0</v>
      </c>
      <c r="AJ58" s="19">
        <v>0</v>
      </c>
      <c r="AK58" s="28">
        <f t="shared" si="43"/>
        <v>0</v>
      </c>
      <c r="AL58" s="333">
        <v>-34</v>
      </c>
      <c r="AM58" s="333">
        <f>-67-AL58</f>
        <v>-33</v>
      </c>
      <c r="AN58" s="333">
        <f>-198-AM58-AL58</f>
        <v>-131</v>
      </c>
      <c r="AO58" s="19">
        <f>-560-AN58-AM58-AL58</f>
        <v>-362</v>
      </c>
      <c r="AP58" s="28">
        <f t="shared" si="44"/>
        <v>-560</v>
      </c>
      <c r="AQ58" s="333">
        <v>-377</v>
      </c>
      <c r="AR58" s="333">
        <f>-633-AQ58-1</f>
        <v>-257</v>
      </c>
      <c r="AS58" s="333">
        <f>-846-AR58-AQ58</f>
        <v>-212</v>
      </c>
      <c r="AT58" s="19">
        <f>-1280-AS58-AR58-AQ58</f>
        <v>-434</v>
      </c>
      <c r="AU58" s="28">
        <f>SUM(AQ58:AT58)</f>
        <v>-1280</v>
      </c>
      <c r="AV58" s="333">
        <v>-156</v>
      </c>
      <c r="AW58" s="333">
        <f>-264-AV58</f>
        <v>-108</v>
      </c>
      <c r="AX58" s="333">
        <f>-510-SUM(AV58:AW58)</f>
        <v>-246</v>
      </c>
      <c r="AY58" s="19">
        <f>-1027-SUM(AV58:AX58)</f>
        <v>-517</v>
      </c>
      <c r="AZ58" s="28">
        <f>SUM(AV58:AY58)</f>
        <v>-1027</v>
      </c>
      <c r="BA58" s="333">
        <v>-172</v>
      </c>
      <c r="BB58" s="333">
        <f>-225-BA58</f>
        <v>-53</v>
      </c>
      <c r="BC58" s="333">
        <f>-334-BB58-BA58</f>
        <v>-109</v>
      </c>
      <c r="BD58" s="19">
        <f>-825-SUM(BA58:BC58)</f>
        <v>-491</v>
      </c>
      <c r="BE58" s="28">
        <f>SUM(BA58:BD58)</f>
        <v>-825</v>
      </c>
      <c r="BF58" s="333">
        <v>-319</v>
      </c>
      <c r="BG58" s="333">
        <f>-824-BF58</f>
        <v>-505</v>
      </c>
      <c r="BH58" s="333">
        <f>-1044-BF58-BG58</f>
        <v>-220</v>
      </c>
      <c r="BI58" s="19">
        <f>-1579-BH58-BG58-BF58</f>
        <v>-535</v>
      </c>
      <c r="BJ58" s="28">
        <f t="shared" si="41"/>
        <v>-1579</v>
      </c>
      <c r="BK58" s="333">
        <v>-178</v>
      </c>
      <c r="BL58" s="333">
        <f>BO58-BK58</f>
        <v>-329</v>
      </c>
      <c r="BM58" s="333"/>
      <c r="BN58" s="19"/>
      <c r="BO58" s="28">
        <v>-507</v>
      </c>
    </row>
    <row r="59" spans="2:67">
      <c r="B59" s="88" t="s">
        <v>203</v>
      </c>
      <c r="C59" s="89"/>
      <c r="D59" s="89"/>
      <c r="E59" s="89"/>
      <c r="F59" s="90"/>
      <c r="G59" s="28"/>
      <c r="H59" s="89"/>
      <c r="I59" s="19"/>
      <c r="J59" s="89"/>
      <c r="K59" s="90"/>
      <c r="L59" s="28"/>
      <c r="M59" s="89"/>
      <c r="N59" s="19"/>
      <c r="O59" s="89"/>
      <c r="P59" s="89"/>
      <c r="Q59" s="28"/>
      <c r="R59" s="19"/>
      <c r="S59" s="19"/>
      <c r="T59" s="19"/>
      <c r="U59" s="19">
        <f>-45-T59-S59-R59</f>
        <v>-45</v>
      </c>
      <c r="V59" s="28">
        <f t="shared" si="32"/>
        <v>-45</v>
      </c>
      <c r="W59" s="19">
        <v>0</v>
      </c>
      <c r="X59" s="19">
        <v>0</v>
      </c>
      <c r="Y59" s="19">
        <v>0</v>
      </c>
      <c r="Z59" s="19">
        <f>-70-Y59-X59-W59</f>
        <v>-70</v>
      </c>
      <c r="AA59" s="28">
        <f t="shared" si="33"/>
        <v>-70</v>
      </c>
      <c r="AB59" s="333">
        <v>0</v>
      </c>
      <c r="AC59" s="333">
        <v>0</v>
      </c>
      <c r="AD59" s="333">
        <v>0</v>
      </c>
      <c r="AE59" s="19">
        <v>0</v>
      </c>
      <c r="AF59" s="28">
        <f t="shared" si="42"/>
        <v>0</v>
      </c>
      <c r="AG59" s="333">
        <v>0</v>
      </c>
      <c r="AH59" s="333">
        <v>0</v>
      </c>
      <c r="AI59" s="333">
        <v>0</v>
      </c>
      <c r="AJ59" s="19">
        <v>0</v>
      </c>
      <c r="AK59" s="28">
        <f t="shared" si="43"/>
        <v>0</v>
      </c>
      <c r="AL59" s="333">
        <v>0</v>
      </c>
      <c r="AM59" s="333">
        <v>0</v>
      </c>
      <c r="AN59" s="333">
        <v>0</v>
      </c>
      <c r="AO59" s="19">
        <v>0</v>
      </c>
      <c r="AP59" s="28">
        <f t="shared" si="44"/>
        <v>0</v>
      </c>
      <c r="AQ59" s="333">
        <v>-36</v>
      </c>
      <c r="AR59" s="333">
        <f>-61-AQ59</f>
        <v>-25</v>
      </c>
      <c r="AS59" s="333">
        <f>-291-AR59-AQ59</f>
        <v>-230</v>
      </c>
      <c r="AT59" s="19">
        <f>-371-AS59-AR59-AQ59</f>
        <v>-80</v>
      </c>
      <c r="AU59" s="28">
        <f t="shared" si="45"/>
        <v>-371</v>
      </c>
      <c r="AV59" s="333">
        <v>-190</v>
      </c>
      <c r="AW59" s="333">
        <f>-352-AV59</f>
        <v>-162</v>
      </c>
      <c r="AX59" s="333">
        <f>-580-SUM(AV59:AW59)</f>
        <v>-228</v>
      </c>
      <c r="AY59" s="19">
        <f>-1254-SUM(AV59:AX59)</f>
        <v>-674</v>
      </c>
      <c r="AZ59" s="28">
        <f t="shared" si="46"/>
        <v>-1254</v>
      </c>
      <c r="BA59" s="333">
        <v>-267</v>
      </c>
      <c r="BB59" s="19">
        <f>-266-BA59</f>
        <v>1</v>
      </c>
      <c r="BC59" s="333">
        <f>-290-BB59-BA59</f>
        <v>-24</v>
      </c>
      <c r="BD59" s="19">
        <f>-757-SUM(BA59:BC59)</f>
        <v>-467</v>
      </c>
      <c r="BE59" s="28">
        <f t="shared" si="47"/>
        <v>-757</v>
      </c>
      <c r="BF59" s="333">
        <v>-17</v>
      </c>
      <c r="BG59" s="19">
        <f>-310-BF59</f>
        <v>-293</v>
      </c>
      <c r="BH59" s="333">
        <f>-307-BF59-BG59</f>
        <v>3</v>
      </c>
      <c r="BI59" s="19">
        <f>-366-BH59-BG59-BF59</f>
        <v>-59</v>
      </c>
      <c r="BJ59" s="28">
        <f t="shared" si="41"/>
        <v>-366</v>
      </c>
      <c r="BK59" s="333">
        <v>-141</v>
      </c>
      <c r="BL59" s="19">
        <f>BO59-BK59</f>
        <v>-155</v>
      </c>
      <c r="BM59" s="333"/>
      <c r="BN59" s="19"/>
      <c r="BO59" s="28">
        <v>-296</v>
      </c>
    </row>
    <row r="60" spans="2:67">
      <c r="B60" s="88" t="s">
        <v>204</v>
      </c>
      <c r="C60" s="89"/>
      <c r="D60" s="89"/>
      <c r="E60" s="89"/>
      <c r="F60" s="90"/>
      <c r="G60" s="28"/>
      <c r="H60" s="89"/>
      <c r="I60" s="19"/>
      <c r="J60" s="89"/>
      <c r="K60" s="90"/>
      <c r="L60" s="28"/>
      <c r="M60" s="89"/>
      <c r="N60" s="19"/>
      <c r="O60" s="89"/>
      <c r="P60" s="89"/>
      <c r="Q60" s="28"/>
      <c r="R60" s="19">
        <v>0</v>
      </c>
      <c r="S60" s="19">
        <v>0</v>
      </c>
      <c r="T60" s="19">
        <v>0</v>
      </c>
      <c r="U60" s="19">
        <v>0</v>
      </c>
      <c r="V60" s="28">
        <f t="shared" si="32"/>
        <v>0</v>
      </c>
      <c r="W60" s="19">
        <v>0</v>
      </c>
      <c r="X60" s="19">
        <f>43-W60</f>
        <v>43</v>
      </c>
      <c r="Y60" s="19">
        <f>43-X60-W60</f>
        <v>0</v>
      </c>
      <c r="Z60" s="19">
        <f>43-Y60-X60-W60</f>
        <v>0</v>
      </c>
      <c r="AA60" s="28">
        <f t="shared" si="33"/>
        <v>43</v>
      </c>
      <c r="AB60" s="333">
        <v>72</v>
      </c>
      <c r="AC60" s="333">
        <v>0</v>
      </c>
      <c r="AD60" s="333">
        <v>0</v>
      </c>
      <c r="AE60" s="19">
        <v>0</v>
      </c>
      <c r="AF60" s="28">
        <f t="shared" si="42"/>
        <v>72</v>
      </c>
      <c r="AG60" s="333">
        <v>0</v>
      </c>
      <c r="AH60" s="333">
        <v>0</v>
      </c>
      <c r="AI60" s="333">
        <v>0</v>
      </c>
      <c r="AJ60" s="19">
        <v>0</v>
      </c>
      <c r="AK60" s="28">
        <f t="shared" si="43"/>
        <v>0</v>
      </c>
      <c r="AL60" s="333">
        <v>0</v>
      </c>
      <c r="AM60" s="333">
        <v>0</v>
      </c>
      <c r="AN60" s="333">
        <v>0</v>
      </c>
      <c r="AO60" s="19">
        <v>0</v>
      </c>
      <c r="AP60" s="28">
        <f t="shared" si="44"/>
        <v>0</v>
      </c>
      <c r="AQ60" s="333">
        <v>0</v>
      </c>
      <c r="AR60" s="333">
        <f>25-AQ60</f>
        <v>25</v>
      </c>
      <c r="AS60" s="19">
        <f>162-AR60-AQ60</f>
        <v>137</v>
      </c>
      <c r="AT60" s="19">
        <f>284-AS60-AR60-AQ60</f>
        <v>122</v>
      </c>
      <c r="AU60" s="28">
        <f t="shared" si="45"/>
        <v>284</v>
      </c>
      <c r="AV60" s="333">
        <v>100</v>
      </c>
      <c r="AW60" s="333">
        <f>152-AV60</f>
        <v>52</v>
      </c>
      <c r="AX60" s="19">
        <f>435-SUM(AV60:AW60)</f>
        <v>283</v>
      </c>
      <c r="AY60" s="19">
        <f>782-SUM(AV60:AX60)</f>
        <v>347</v>
      </c>
      <c r="AZ60" s="28">
        <f t="shared" si="46"/>
        <v>782</v>
      </c>
      <c r="BA60" s="333">
        <v>856</v>
      </c>
      <c r="BB60" s="19">
        <f>854-BA60</f>
        <v>-2</v>
      </c>
      <c r="BC60" s="19">
        <f>854-BB60-BA60</f>
        <v>0</v>
      </c>
      <c r="BD60" s="19">
        <f>914-SUM(BA60:BC60)</f>
        <v>60</v>
      </c>
      <c r="BE60" s="28">
        <f t="shared" si="47"/>
        <v>914</v>
      </c>
      <c r="BF60" s="333">
        <v>450</v>
      </c>
      <c r="BG60" s="19">
        <f>539-BF60</f>
        <v>89</v>
      </c>
      <c r="BH60" s="19">
        <f>624-BF60-BG60</f>
        <v>85</v>
      </c>
      <c r="BI60" s="19">
        <f>654-BH60-BG60-BF60</f>
        <v>30</v>
      </c>
      <c r="BJ60" s="28">
        <f t="shared" si="41"/>
        <v>654</v>
      </c>
      <c r="BK60" s="333">
        <v>272</v>
      </c>
      <c r="BL60" s="19">
        <f>BO60-BK60</f>
        <v>-2</v>
      </c>
      <c r="BM60" s="19"/>
      <c r="BN60" s="19"/>
      <c r="BO60" s="28">
        <v>270</v>
      </c>
    </row>
    <row r="61" spans="2:67">
      <c r="B61" s="88" t="s">
        <v>200</v>
      </c>
      <c r="C61" s="89">
        <v>46</v>
      </c>
      <c r="D61" s="89">
        <f>121-C61</f>
        <v>75</v>
      </c>
      <c r="E61" s="89">
        <v>15</v>
      </c>
      <c r="F61" s="90">
        <v>-1</v>
      </c>
      <c r="G61" s="28">
        <f t="shared" si="29"/>
        <v>135</v>
      </c>
      <c r="H61" s="89">
        <v>0</v>
      </c>
      <c r="I61" s="19">
        <v>0</v>
      </c>
      <c r="J61" s="89">
        <v>0</v>
      </c>
      <c r="K61" s="90">
        <v>0</v>
      </c>
      <c r="L61" s="28">
        <f t="shared" si="30"/>
        <v>0</v>
      </c>
      <c r="M61" s="89">
        <v>0</v>
      </c>
      <c r="N61" s="19">
        <v>0</v>
      </c>
      <c r="O61" s="89">
        <f>0-N61-M61</f>
        <v>0</v>
      </c>
      <c r="P61" s="89">
        <v>0</v>
      </c>
      <c r="Q61" s="28">
        <f t="shared" si="31"/>
        <v>0</v>
      </c>
      <c r="R61" s="19">
        <v>23</v>
      </c>
      <c r="S61" s="19">
        <v>252</v>
      </c>
      <c r="T61" s="19">
        <f>1504-R61-S61</f>
        <v>1229</v>
      </c>
      <c r="U61" s="19">
        <f>1503-T61-S61-R61</f>
        <v>-1</v>
      </c>
      <c r="V61" s="28">
        <f t="shared" si="32"/>
        <v>1503</v>
      </c>
      <c r="W61" s="19">
        <v>118</v>
      </c>
      <c r="X61" s="19">
        <f>137-W61</f>
        <v>19</v>
      </c>
      <c r="Y61" s="19">
        <f>193-X61-W61</f>
        <v>56</v>
      </c>
      <c r="Z61" s="19">
        <f>791-Y61-X61-W61</f>
        <v>598</v>
      </c>
      <c r="AA61" s="28">
        <f t="shared" si="33"/>
        <v>791</v>
      </c>
      <c r="AB61" s="333">
        <v>90</v>
      </c>
      <c r="AC61" s="333">
        <v>195</v>
      </c>
      <c r="AD61" s="333">
        <v>75</v>
      </c>
      <c r="AE61" s="19">
        <v>0</v>
      </c>
      <c r="AF61" s="28">
        <f t="shared" si="42"/>
        <v>360</v>
      </c>
      <c r="AG61" s="333">
        <v>33</v>
      </c>
      <c r="AH61" s="333">
        <f>120-AG61</f>
        <v>87</v>
      </c>
      <c r="AI61" s="333">
        <f>154-AH61-AG61</f>
        <v>34</v>
      </c>
      <c r="AJ61" s="19">
        <f>154-AI61-AH61-AG61</f>
        <v>0</v>
      </c>
      <c r="AK61" s="28">
        <f t="shared" si="43"/>
        <v>154</v>
      </c>
      <c r="AL61" s="333">
        <v>0</v>
      </c>
      <c r="AM61" s="333">
        <f>67-AL61</f>
        <v>67</v>
      </c>
      <c r="AN61" s="333">
        <f>67-AM61-AL61</f>
        <v>0</v>
      </c>
      <c r="AO61" s="19">
        <f>105-AN61-AM61-AL61</f>
        <v>38</v>
      </c>
      <c r="AP61" s="28">
        <f t="shared" si="44"/>
        <v>105</v>
      </c>
      <c r="AQ61" s="333">
        <v>281</v>
      </c>
      <c r="AR61" s="333">
        <f>396-AQ61</f>
        <v>115</v>
      </c>
      <c r="AS61" s="333">
        <f>947-AR61-AQ61</f>
        <v>551</v>
      </c>
      <c r="AT61" s="19">
        <f>1287-AS61-AR61-AQ61</f>
        <v>340</v>
      </c>
      <c r="AU61" s="28">
        <f t="shared" si="45"/>
        <v>1287</v>
      </c>
      <c r="AV61" s="333">
        <v>484</v>
      </c>
      <c r="AW61" s="333">
        <f>596-AV61</f>
        <v>112</v>
      </c>
      <c r="AX61" s="333">
        <f>723-SUM(AV61:AW61)</f>
        <v>127</v>
      </c>
      <c r="AY61" s="19">
        <f>1111-SUM(AV61:AX61)</f>
        <v>388</v>
      </c>
      <c r="AZ61" s="28">
        <f t="shared" si="46"/>
        <v>1111</v>
      </c>
      <c r="BA61" s="333">
        <v>338</v>
      </c>
      <c r="BB61" s="333">
        <f>475-BA61</f>
        <v>137</v>
      </c>
      <c r="BC61" s="333">
        <f>620-BB61-BA61</f>
        <v>145</v>
      </c>
      <c r="BD61" s="19">
        <f>791-SUM(BA61:BC61)</f>
        <v>171</v>
      </c>
      <c r="BE61" s="28">
        <f t="shared" si="47"/>
        <v>791</v>
      </c>
      <c r="BF61" s="333">
        <v>564</v>
      </c>
      <c r="BG61" s="333">
        <f>675-BF61</f>
        <v>111</v>
      </c>
      <c r="BH61" s="333">
        <f>1088-BF61-BG61</f>
        <v>413</v>
      </c>
      <c r="BI61" s="19">
        <f>1099-BH61-BG61-BF61</f>
        <v>11</v>
      </c>
      <c r="BJ61" s="28">
        <f t="shared" si="41"/>
        <v>1099</v>
      </c>
      <c r="BK61" s="333">
        <v>490</v>
      </c>
      <c r="BL61" s="333">
        <f t="shared" si="34"/>
        <v>439</v>
      </c>
      <c r="BM61" s="333"/>
      <c r="BN61" s="19"/>
      <c r="BO61" s="28">
        <v>929</v>
      </c>
    </row>
    <row r="62" spans="2:67" ht="13.5">
      <c r="B62" s="88" t="s">
        <v>255</v>
      </c>
      <c r="C62" s="150"/>
      <c r="D62" s="150"/>
      <c r="E62" s="150"/>
      <c r="F62" s="153"/>
      <c r="G62" s="105">
        <v>0</v>
      </c>
      <c r="H62" s="150"/>
      <c r="I62" s="209"/>
      <c r="J62" s="150"/>
      <c r="K62" s="153"/>
      <c r="L62" s="105">
        <v>0</v>
      </c>
      <c r="M62" s="150"/>
      <c r="N62" s="209"/>
      <c r="O62" s="150"/>
      <c r="P62" s="150"/>
      <c r="Q62" s="105">
        <v>0</v>
      </c>
      <c r="R62" s="209"/>
      <c r="S62" s="209"/>
      <c r="T62" s="209"/>
      <c r="U62" s="209"/>
      <c r="V62" s="105">
        <v>0</v>
      </c>
      <c r="W62" s="209">
        <v>0</v>
      </c>
      <c r="X62" s="209">
        <v>0</v>
      </c>
      <c r="Y62" s="209">
        <v>0</v>
      </c>
      <c r="Z62" s="209">
        <f>2-Y62-X62-W62</f>
        <v>2</v>
      </c>
      <c r="AA62" s="105">
        <f t="shared" si="33"/>
        <v>2</v>
      </c>
      <c r="AB62" s="209">
        <v>0</v>
      </c>
      <c r="AC62" s="209">
        <v>3</v>
      </c>
      <c r="AD62" s="209">
        <v>2</v>
      </c>
      <c r="AE62" s="209">
        <v>2</v>
      </c>
      <c r="AF62" s="105">
        <f t="shared" si="42"/>
        <v>7</v>
      </c>
      <c r="AG62" s="209">
        <f>3+2</f>
        <v>5</v>
      </c>
      <c r="AH62" s="209">
        <f>6-AG62</f>
        <v>1</v>
      </c>
      <c r="AI62" s="209">
        <f>8-AH62-AG62</f>
        <v>2</v>
      </c>
      <c r="AJ62" s="209">
        <f>10-AI62-AH62-AG62</f>
        <v>2</v>
      </c>
      <c r="AK62" s="105">
        <f t="shared" si="43"/>
        <v>10</v>
      </c>
      <c r="AL62" s="209">
        <v>2</v>
      </c>
      <c r="AM62" s="209">
        <f>4-AL62</f>
        <v>2</v>
      </c>
      <c r="AN62" s="209">
        <f>1+7-AM62-AL62</f>
        <v>4</v>
      </c>
      <c r="AO62" s="209">
        <f>1+9-AN62-AM62-AL62</f>
        <v>2</v>
      </c>
      <c r="AP62" s="105">
        <f t="shared" si="44"/>
        <v>10</v>
      </c>
      <c r="AQ62" s="209">
        <v>3</v>
      </c>
      <c r="AR62" s="209">
        <f>5-AQ62</f>
        <v>2</v>
      </c>
      <c r="AS62" s="209">
        <f>7-AR62-AQ62</f>
        <v>2</v>
      </c>
      <c r="AT62" s="209">
        <f>9+0-AS62-AR62-AQ62</f>
        <v>2</v>
      </c>
      <c r="AU62" s="105">
        <f t="shared" si="45"/>
        <v>9</v>
      </c>
      <c r="AV62" s="209">
        <v>15</v>
      </c>
      <c r="AW62" s="209">
        <f>0+16-AV62</f>
        <v>1</v>
      </c>
      <c r="AX62" s="209">
        <f>17-SUM(AV62:AW62)</f>
        <v>1</v>
      </c>
      <c r="AY62" s="209">
        <f>16+3-SUM(AV62:AX62)</f>
        <v>2</v>
      </c>
      <c r="AZ62" s="105">
        <f t="shared" si="46"/>
        <v>19</v>
      </c>
      <c r="BA62" s="209">
        <v>0</v>
      </c>
      <c r="BB62" s="209">
        <f>0-BA62</f>
        <v>0</v>
      </c>
      <c r="BC62" s="209">
        <f>1+1-BB62-BA62</f>
        <v>2</v>
      </c>
      <c r="BD62" s="209">
        <f>2-SUM(BA62:BC62)</f>
        <v>0</v>
      </c>
      <c r="BE62" s="105">
        <f t="shared" si="47"/>
        <v>2</v>
      </c>
      <c r="BF62" s="209">
        <v>1</v>
      </c>
      <c r="BG62" s="209">
        <f>1-BF62</f>
        <v>0</v>
      </c>
      <c r="BH62" s="209">
        <f>1-BF62-BG62</f>
        <v>0</v>
      </c>
      <c r="BI62" s="209">
        <f>1-BH62-BG62-BF62</f>
        <v>0</v>
      </c>
      <c r="BJ62" s="105">
        <f>SUM(BF62:BI62)</f>
        <v>1</v>
      </c>
      <c r="BK62" s="209">
        <v>0</v>
      </c>
      <c r="BL62" s="209">
        <f>BO62-BK62</f>
        <v>1</v>
      </c>
      <c r="BM62" s="209"/>
      <c r="BN62" s="209"/>
      <c r="BO62" s="105">
        <v>1</v>
      </c>
    </row>
    <row r="63" spans="2:67">
      <c r="B63" s="88"/>
      <c r="C63" s="89"/>
      <c r="D63" s="89"/>
      <c r="E63" s="89"/>
      <c r="F63" s="90"/>
      <c r="G63" s="28"/>
      <c r="H63" s="89"/>
      <c r="I63" s="89"/>
      <c r="J63" s="89"/>
      <c r="K63" s="90"/>
      <c r="L63" s="28"/>
      <c r="M63" s="89"/>
      <c r="N63" s="89"/>
      <c r="O63" s="89"/>
      <c r="P63" s="89"/>
      <c r="Q63" s="28"/>
      <c r="R63" s="89"/>
      <c r="S63" s="89"/>
      <c r="T63" s="89"/>
      <c r="U63" s="89"/>
      <c r="V63" s="28"/>
      <c r="W63" s="89"/>
      <c r="X63" s="89"/>
      <c r="Y63" s="89"/>
      <c r="Z63" s="89"/>
      <c r="AA63" s="28"/>
      <c r="AB63" s="89"/>
      <c r="AC63" s="89"/>
      <c r="AD63" s="89"/>
      <c r="AE63" s="89"/>
      <c r="AF63" s="28"/>
      <c r="AG63" s="89"/>
      <c r="AH63" s="89"/>
      <c r="AI63" s="89"/>
      <c r="AJ63" s="89"/>
      <c r="AK63" s="28"/>
      <c r="AL63" s="89"/>
      <c r="AM63" s="89"/>
      <c r="AN63" s="89"/>
      <c r="AO63" s="89"/>
      <c r="AP63" s="28"/>
      <c r="AQ63" s="89"/>
      <c r="AR63" s="89"/>
      <c r="AS63" s="89"/>
      <c r="AT63" s="89"/>
      <c r="AU63" s="28"/>
      <c r="AV63" s="89"/>
      <c r="AW63" s="89"/>
      <c r="AX63" s="89"/>
      <c r="AY63" s="89"/>
      <c r="AZ63" s="28"/>
      <c r="BA63" s="89"/>
      <c r="BB63" s="89"/>
      <c r="BC63" s="89"/>
      <c r="BD63" s="89"/>
      <c r="BE63" s="28"/>
      <c r="BF63" s="89"/>
      <c r="BG63" s="89"/>
      <c r="BH63" s="89"/>
      <c r="BI63" s="89"/>
      <c r="BJ63" s="28"/>
      <c r="BK63" s="89"/>
      <c r="BL63" s="89"/>
      <c r="BM63" s="89"/>
      <c r="BN63" s="89"/>
      <c r="BO63" s="28"/>
    </row>
    <row r="64" spans="2:67" s="39" customFormat="1">
      <c r="B64" s="87" t="s">
        <v>494</v>
      </c>
      <c r="C64" s="93">
        <f t="shared" ref="C64:V64" si="48">SUM(C38:C61)</f>
        <v>-128</v>
      </c>
      <c r="D64" s="93">
        <f t="shared" si="48"/>
        <v>-151</v>
      </c>
      <c r="E64" s="93">
        <f t="shared" si="48"/>
        <v>314</v>
      </c>
      <c r="F64" s="93">
        <f t="shared" si="48"/>
        <v>-240</v>
      </c>
      <c r="G64" s="24">
        <f t="shared" si="48"/>
        <v>-205</v>
      </c>
      <c r="H64" s="93">
        <f t="shared" si="48"/>
        <v>-171</v>
      </c>
      <c r="I64" s="93">
        <f t="shared" si="48"/>
        <v>-92</v>
      </c>
      <c r="J64" s="93">
        <f t="shared" si="48"/>
        <v>-124</v>
      </c>
      <c r="K64" s="93">
        <f t="shared" si="48"/>
        <v>-87</v>
      </c>
      <c r="L64" s="24">
        <f t="shared" si="48"/>
        <v>-474</v>
      </c>
      <c r="M64" s="93">
        <f t="shared" si="48"/>
        <v>-211</v>
      </c>
      <c r="N64" s="93">
        <f t="shared" si="48"/>
        <v>-348</v>
      </c>
      <c r="O64" s="93">
        <f t="shared" si="48"/>
        <v>-927</v>
      </c>
      <c r="P64" s="93">
        <f t="shared" si="48"/>
        <v>-1061</v>
      </c>
      <c r="Q64" s="24">
        <f t="shared" si="48"/>
        <v>-2547</v>
      </c>
      <c r="R64" s="93">
        <f t="shared" si="48"/>
        <v>-52</v>
      </c>
      <c r="S64" s="93">
        <f t="shared" si="48"/>
        <v>-301</v>
      </c>
      <c r="T64" s="93">
        <f t="shared" si="48"/>
        <v>1476</v>
      </c>
      <c r="U64" s="93">
        <f t="shared" si="48"/>
        <v>-641</v>
      </c>
      <c r="V64" s="24">
        <f t="shared" si="48"/>
        <v>482</v>
      </c>
      <c r="W64" s="93">
        <f>SUM(W38:W62)</f>
        <v>-131</v>
      </c>
      <c r="X64" s="93">
        <f>SUM(X38:X61)</f>
        <v>-79</v>
      </c>
      <c r="Y64" s="93">
        <f>SUM(Y38:Y61)</f>
        <v>-291</v>
      </c>
      <c r="Z64" s="93">
        <f t="shared" ref="Z64:AH64" si="49">SUM(Z38:Z62)</f>
        <v>277</v>
      </c>
      <c r="AA64" s="24">
        <f t="shared" si="49"/>
        <v>-225</v>
      </c>
      <c r="AB64" s="93">
        <f t="shared" si="49"/>
        <v>159</v>
      </c>
      <c r="AC64" s="93">
        <f t="shared" si="49"/>
        <v>143</v>
      </c>
      <c r="AD64" s="93">
        <f t="shared" si="49"/>
        <v>-75</v>
      </c>
      <c r="AE64" s="93">
        <f t="shared" si="49"/>
        <v>-469</v>
      </c>
      <c r="AF64" s="24">
        <f t="shared" si="49"/>
        <v>-242</v>
      </c>
      <c r="AG64" s="93">
        <f t="shared" si="49"/>
        <v>-195</v>
      </c>
      <c r="AH64" s="93">
        <f t="shared" si="49"/>
        <v>-304</v>
      </c>
      <c r="AI64" s="93">
        <f>SUM(AI38:AI62)+1</f>
        <v>-176</v>
      </c>
      <c r="AJ64" s="93">
        <f t="shared" ref="AJ64:BI64" si="50">SUM(AJ38:AJ62)</f>
        <v>-454</v>
      </c>
      <c r="AK64" s="24">
        <f t="shared" si="50"/>
        <v>-1129</v>
      </c>
      <c r="AL64" s="93">
        <f t="shared" si="50"/>
        <v>-441</v>
      </c>
      <c r="AM64" s="93">
        <f t="shared" si="50"/>
        <v>239</v>
      </c>
      <c r="AN64" s="93">
        <f t="shared" si="50"/>
        <v>-196</v>
      </c>
      <c r="AO64" s="93">
        <f t="shared" si="50"/>
        <v>-607</v>
      </c>
      <c r="AP64" s="24">
        <f t="shared" si="50"/>
        <v>-1005</v>
      </c>
      <c r="AQ64" s="93">
        <f t="shared" si="50"/>
        <v>-279</v>
      </c>
      <c r="AR64" s="93">
        <f t="shared" si="50"/>
        <v>-488</v>
      </c>
      <c r="AS64" s="93">
        <f t="shared" si="50"/>
        <v>354</v>
      </c>
      <c r="AT64" s="93">
        <f t="shared" si="50"/>
        <v>195</v>
      </c>
      <c r="AU64" s="24">
        <f t="shared" si="50"/>
        <v>-218</v>
      </c>
      <c r="AV64" s="93">
        <f t="shared" si="50"/>
        <v>179</v>
      </c>
      <c r="AW64" s="93">
        <f t="shared" si="50"/>
        <v>-244</v>
      </c>
      <c r="AX64" s="93">
        <f t="shared" si="50"/>
        <v>24</v>
      </c>
      <c r="AY64" s="93">
        <f t="shared" si="50"/>
        <v>-667</v>
      </c>
      <c r="AZ64" s="24">
        <f t="shared" si="50"/>
        <v>-708</v>
      </c>
      <c r="BA64" s="93">
        <f t="shared" si="50"/>
        <v>529</v>
      </c>
      <c r="BB64" s="93">
        <f t="shared" si="50"/>
        <v>-67</v>
      </c>
      <c r="BC64" s="93">
        <f t="shared" si="50"/>
        <v>-61</v>
      </c>
      <c r="BD64" s="93">
        <f t="shared" si="50"/>
        <v>-762</v>
      </c>
      <c r="BE64" s="24">
        <f t="shared" si="50"/>
        <v>-361</v>
      </c>
      <c r="BF64" s="93">
        <f t="shared" si="50"/>
        <v>491</v>
      </c>
      <c r="BG64" s="93">
        <f t="shared" si="50"/>
        <v>-630</v>
      </c>
      <c r="BH64" s="93">
        <f t="shared" si="50"/>
        <v>868</v>
      </c>
      <c r="BI64" s="93">
        <f t="shared" si="50"/>
        <v>-719</v>
      </c>
      <c r="BJ64" s="24">
        <f>SUM(BJ38:BJ62)</f>
        <v>10</v>
      </c>
      <c r="BK64" s="93">
        <f>SUM(BK38:BK62)</f>
        <v>158</v>
      </c>
      <c r="BL64" s="93">
        <f>SUM(BL38:BL62)</f>
        <v>-642</v>
      </c>
      <c r="BM64" s="93"/>
      <c r="BN64" s="93"/>
      <c r="BO64" s="24">
        <f>SUM(BO38:BO62)</f>
        <v>-484</v>
      </c>
    </row>
    <row r="65" spans="2:67">
      <c r="B65" s="88"/>
      <c r="C65" s="89"/>
      <c r="D65" s="89"/>
      <c r="E65" s="89"/>
      <c r="F65" s="90"/>
      <c r="G65" s="28"/>
      <c r="H65" s="89"/>
      <c r="I65" s="89"/>
      <c r="J65" s="89"/>
      <c r="K65" s="90"/>
      <c r="L65" s="28"/>
      <c r="M65" s="89"/>
      <c r="N65" s="89"/>
      <c r="O65" s="89"/>
      <c r="P65" s="89"/>
      <c r="Q65" s="28"/>
      <c r="R65" s="89"/>
      <c r="S65" s="89"/>
      <c r="T65" s="89"/>
      <c r="U65" s="89"/>
      <c r="V65" s="28"/>
      <c r="W65" s="89"/>
      <c r="X65" s="89"/>
      <c r="Y65" s="89"/>
      <c r="Z65" s="89"/>
      <c r="AA65" s="28"/>
      <c r="AB65" s="89"/>
      <c r="AC65" s="89"/>
      <c r="AD65" s="89"/>
      <c r="AE65" s="89"/>
      <c r="AF65" s="28"/>
      <c r="AG65" s="89"/>
      <c r="AH65" s="89"/>
      <c r="AI65" s="89"/>
      <c r="AJ65" s="89"/>
      <c r="AK65" s="28"/>
      <c r="AL65" s="89"/>
      <c r="AM65" s="89"/>
      <c r="AN65" s="89"/>
      <c r="AO65" s="89"/>
      <c r="AP65" s="28"/>
      <c r="AQ65" s="89"/>
      <c r="AR65" s="89"/>
      <c r="AS65" s="89"/>
      <c r="AT65" s="89"/>
      <c r="AU65" s="28"/>
      <c r="AV65" s="89"/>
      <c r="AW65" s="89"/>
      <c r="AX65" s="89"/>
      <c r="AY65" s="89"/>
      <c r="AZ65" s="28"/>
      <c r="BA65" s="89"/>
      <c r="BB65" s="89"/>
      <c r="BC65" s="89"/>
      <c r="BD65" s="89"/>
      <c r="BE65" s="28"/>
      <c r="BF65" s="89"/>
      <c r="BG65" s="89"/>
      <c r="BH65" s="89"/>
      <c r="BI65" s="89"/>
      <c r="BJ65" s="28"/>
      <c r="BK65" s="89"/>
      <c r="BL65" s="89"/>
      <c r="BM65" s="89"/>
      <c r="BN65" s="89"/>
      <c r="BO65" s="28"/>
    </row>
    <row r="66" spans="2:67">
      <c r="B66" s="87" t="s">
        <v>210</v>
      </c>
      <c r="C66" s="89"/>
      <c r="D66" s="89"/>
      <c r="E66" s="89"/>
      <c r="F66" s="90"/>
      <c r="G66" s="28"/>
      <c r="H66" s="89"/>
      <c r="I66" s="89"/>
      <c r="J66" s="89"/>
      <c r="K66" s="90"/>
      <c r="L66" s="28"/>
      <c r="M66" s="89"/>
      <c r="N66" s="89"/>
      <c r="O66" s="89"/>
      <c r="P66" s="89"/>
      <c r="Q66" s="28"/>
      <c r="R66" s="89"/>
      <c r="S66" s="89"/>
      <c r="T66" s="89"/>
      <c r="U66" s="89"/>
      <c r="V66" s="28"/>
      <c r="W66" s="89"/>
      <c r="X66" s="89"/>
      <c r="Y66" s="89"/>
      <c r="Z66" s="89"/>
      <c r="AA66" s="28"/>
      <c r="AB66" s="89"/>
      <c r="AC66" s="89"/>
      <c r="AD66" s="89"/>
      <c r="AE66" s="89"/>
      <c r="AF66" s="28"/>
      <c r="AG66" s="89"/>
      <c r="AH66" s="89"/>
      <c r="AI66" s="89"/>
      <c r="AJ66" s="89"/>
      <c r="AK66" s="28"/>
      <c r="AL66" s="89"/>
      <c r="AM66" s="89"/>
      <c r="AN66" s="89"/>
      <c r="AO66" s="89"/>
      <c r="AP66" s="28"/>
      <c r="AQ66" s="89"/>
      <c r="AR66" s="89"/>
      <c r="AS66" s="89"/>
      <c r="AT66" s="89"/>
      <c r="AU66" s="28"/>
      <c r="AV66" s="89"/>
      <c r="AW66" s="89"/>
      <c r="AX66" s="89"/>
      <c r="AY66" s="89"/>
      <c r="AZ66" s="28"/>
      <c r="BA66" s="89"/>
      <c r="BB66" s="89"/>
      <c r="BC66" s="89"/>
      <c r="BD66" s="89"/>
      <c r="BE66" s="28"/>
      <c r="BF66" s="89"/>
      <c r="BG66" s="89"/>
      <c r="BH66" s="89"/>
      <c r="BI66" s="89"/>
      <c r="BJ66" s="28"/>
      <c r="BK66" s="89"/>
      <c r="BL66" s="89"/>
      <c r="BM66" s="89"/>
      <c r="BN66" s="89"/>
      <c r="BO66" s="28"/>
    </row>
    <row r="67" spans="2:67">
      <c r="B67" s="96" t="s">
        <v>256</v>
      </c>
      <c r="C67" s="89">
        <v>0</v>
      </c>
      <c r="D67" s="89">
        <v>0</v>
      </c>
      <c r="E67" s="89">
        <v>0</v>
      </c>
      <c r="F67" s="90">
        <v>0</v>
      </c>
      <c r="G67" s="28">
        <f>SUM(C67:F67)</f>
        <v>0</v>
      </c>
      <c r="H67" s="89">
        <v>0</v>
      </c>
      <c r="I67" s="89">
        <v>0</v>
      </c>
      <c r="J67" s="89">
        <v>0</v>
      </c>
      <c r="K67" s="90">
        <v>0</v>
      </c>
      <c r="L67" s="28">
        <f>SUM(H67:K67)</f>
        <v>0</v>
      </c>
      <c r="M67" s="89">
        <v>0</v>
      </c>
      <c r="N67" s="89">
        <v>0</v>
      </c>
      <c r="O67" s="89">
        <f>0-N67-M67</f>
        <v>0</v>
      </c>
      <c r="P67" s="89">
        <v>0</v>
      </c>
      <c r="Q67" s="28">
        <f>SUM(M67:P67)</f>
        <v>0</v>
      </c>
      <c r="R67" s="89">
        <v>0</v>
      </c>
      <c r="S67" s="89">
        <v>0</v>
      </c>
      <c r="T67" s="89">
        <v>0</v>
      </c>
      <c r="U67" s="89">
        <f>1-T67-S67-R67</f>
        <v>1</v>
      </c>
      <c r="V67" s="28">
        <f>SUM(R67:U67)</f>
        <v>1</v>
      </c>
      <c r="W67" s="89">
        <v>0</v>
      </c>
      <c r="X67" s="89">
        <v>0</v>
      </c>
      <c r="Y67" s="89">
        <f>1-X67-W67</f>
        <v>1</v>
      </c>
      <c r="Z67" s="89">
        <f>1-Y67-X67-W67</f>
        <v>0</v>
      </c>
      <c r="AA67" s="28">
        <f>SUM(W67:Z67)</f>
        <v>1</v>
      </c>
      <c r="AB67" s="89">
        <v>0</v>
      </c>
      <c r="AC67" s="89">
        <v>0</v>
      </c>
      <c r="AD67" s="89">
        <v>1</v>
      </c>
      <c r="AE67" s="89">
        <v>0</v>
      </c>
      <c r="AF67" s="28">
        <f>SUM(AB67:AE67)</f>
        <v>1</v>
      </c>
      <c r="AG67" s="89">
        <v>1</v>
      </c>
      <c r="AH67" s="89">
        <f>1-AG67</f>
        <v>0</v>
      </c>
      <c r="AI67" s="89">
        <f>2-AH67-AG67</f>
        <v>1</v>
      </c>
      <c r="AJ67" s="89">
        <f>2-AI67-AH67-AG67</f>
        <v>0</v>
      </c>
      <c r="AK67" s="28">
        <f t="shared" ref="AK67:AK73" si="51">SUM(AG67:AJ67)</f>
        <v>2</v>
      </c>
      <c r="AL67" s="89">
        <v>1</v>
      </c>
      <c r="AM67" s="89">
        <f>1-AL67</f>
        <v>0</v>
      </c>
      <c r="AN67" s="89">
        <f>2-AM67-AL67</f>
        <v>1</v>
      </c>
      <c r="AO67" s="89">
        <f>2-AN67-AM67-AL67</f>
        <v>0</v>
      </c>
      <c r="AP67" s="28">
        <f t="shared" ref="AP67:AP74" si="52">SUM(AL67:AO67)</f>
        <v>2</v>
      </c>
      <c r="AQ67" s="89">
        <v>0</v>
      </c>
      <c r="AR67" s="89">
        <f>1-AQ67</f>
        <v>1</v>
      </c>
      <c r="AS67" s="89">
        <f>3-AR67-AQ67</f>
        <v>2</v>
      </c>
      <c r="AT67" s="89">
        <f>4-AS67-AR67-AQ67</f>
        <v>1</v>
      </c>
      <c r="AU67" s="28">
        <f t="shared" ref="AU67:AU74" si="53">SUM(AQ67:AT67)</f>
        <v>4</v>
      </c>
      <c r="AV67" s="89">
        <v>0</v>
      </c>
      <c r="AW67" s="89">
        <v>0</v>
      </c>
      <c r="AX67" s="89">
        <f>0-AW67-AV67</f>
        <v>0</v>
      </c>
      <c r="AY67" s="89">
        <v>1</v>
      </c>
      <c r="AZ67" s="28">
        <f t="shared" ref="AZ67:AZ74" si="54">SUM(AV67:AY67)</f>
        <v>1</v>
      </c>
      <c r="BA67" s="89">
        <v>0</v>
      </c>
      <c r="BB67" s="89">
        <v>0</v>
      </c>
      <c r="BC67" s="89">
        <f>1-BB67-BA67</f>
        <v>1</v>
      </c>
      <c r="BD67" s="89">
        <f>1-SUM(BA67:BC67)</f>
        <v>0</v>
      </c>
      <c r="BE67" s="28">
        <f t="shared" ref="BE67:BE74" si="55">SUM(BA67:BD67)</f>
        <v>1</v>
      </c>
      <c r="BF67" s="89">
        <v>0</v>
      </c>
      <c r="BG67" s="89">
        <v>0</v>
      </c>
      <c r="BH67" s="89">
        <v>0</v>
      </c>
      <c r="BI67" s="89">
        <v>0</v>
      </c>
      <c r="BJ67" s="28">
        <f t="shared" ref="BJ67:BJ74" si="56">SUM(BF67:BI67)</f>
        <v>0</v>
      </c>
      <c r="BK67" s="89">
        <v>0</v>
      </c>
      <c r="BL67" s="89">
        <f>BO67-BK67</f>
        <v>0</v>
      </c>
      <c r="BM67" s="89"/>
      <c r="BN67" s="89"/>
      <c r="BO67" s="28">
        <v>0</v>
      </c>
    </row>
    <row r="68" spans="2:67">
      <c r="B68" s="88" t="s">
        <v>257</v>
      </c>
      <c r="C68" s="89"/>
      <c r="D68" s="89"/>
      <c r="E68" s="89"/>
      <c r="F68" s="90"/>
      <c r="G68" s="28"/>
      <c r="H68" s="89"/>
      <c r="I68" s="89"/>
      <c r="J68" s="89"/>
      <c r="K68" s="90"/>
      <c r="L68" s="28"/>
      <c r="M68" s="89"/>
      <c r="N68" s="89"/>
      <c r="O68" s="89"/>
      <c r="P68" s="89"/>
      <c r="Q68" s="28"/>
      <c r="R68" s="89"/>
      <c r="S68" s="89"/>
      <c r="T68" s="89"/>
      <c r="U68" s="89"/>
      <c r="V68" s="28"/>
      <c r="W68" s="89"/>
      <c r="X68" s="89"/>
      <c r="Y68" s="89"/>
      <c r="Z68" s="89"/>
      <c r="AA68" s="28"/>
      <c r="AB68" s="89">
        <v>-20</v>
      </c>
      <c r="AC68" s="89">
        <v>-22</v>
      </c>
      <c r="AD68" s="89">
        <v>-20</v>
      </c>
      <c r="AE68" s="89">
        <v>-18</v>
      </c>
      <c r="AF68" s="28">
        <f>SUM(AB68:AE68)</f>
        <v>-80</v>
      </c>
      <c r="AG68" s="89">
        <v>-19</v>
      </c>
      <c r="AH68" s="89">
        <f>-47-AG68</f>
        <v>-28</v>
      </c>
      <c r="AI68" s="89">
        <f>-72-AH68-AG68</f>
        <v>-25</v>
      </c>
      <c r="AJ68" s="89">
        <f>-94-AI68-AH68-AG68</f>
        <v>-22</v>
      </c>
      <c r="AK68" s="28">
        <f t="shared" si="51"/>
        <v>-94</v>
      </c>
      <c r="AL68" s="89">
        <v>-28</v>
      </c>
      <c r="AM68" s="89">
        <f>-57-AL68</f>
        <v>-29</v>
      </c>
      <c r="AN68" s="89">
        <f>-86-AM68-AL68</f>
        <v>-29</v>
      </c>
      <c r="AO68" s="89">
        <f>-125-AN68-AM68-AL68</f>
        <v>-39</v>
      </c>
      <c r="AP68" s="28">
        <f t="shared" si="52"/>
        <v>-125</v>
      </c>
      <c r="AQ68" s="89">
        <v>-31</v>
      </c>
      <c r="AR68" s="89">
        <f>-67-AQ68</f>
        <v>-36</v>
      </c>
      <c r="AS68" s="89">
        <f>-107-AR68-AQ68</f>
        <v>-40</v>
      </c>
      <c r="AT68" s="89">
        <f>-151-AS68-AR68-AQ68</f>
        <v>-44</v>
      </c>
      <c r="AU68" s="28">
        <f t="shared" si="53"/>
        <v>-151</v>
      </c>
      <c r="AV68" s="89">
        <v>-54</v>
      </c>
      <c r="AW68" s="89">
        <f>-112-AV68</f>
        <v>-58</v>
      </c>
      <c r="AX68" s="89">
        <f>-174-SUM(AV68:AW68)</f>
        <v>-62</v>
      </c>
      <c r="AY68" s="89">
        <f>-245-SUM(AV68:AX68)</f>
        <v>-71</v>
      </c>
      <c r="AZ68" s="28">
        <f t="shared" si="54"/>
        <v>-245</v>
      </c>
      <c r="BA68" s="89">
        <v>-69</v>
      </c>
      <c r="BB68" s="89">
        <f>-142-BA68</f>
        <v>-73</v>
      </c>
      <c r="BC68" s="89">
        <f>-212-BB68-BA68</f>
        <v>-70</v>
      </c>
      <c r="BD68" s="89">
        <f>-278-SUM(BA68:BC68)</f>
        <v>-66</v>
      </c>
      <c r="BE68" s="28">
        <f t="shared" si="55"/>
        <v>-278</v>
      </c>
      <c r="BF68" s="89">
        <v>-82</v>
      </c>
      <c r="BG68" s="89">
        <f>-159-BF68</f>
        <v>-77</v>
      </c>
      <c r="BH68" s="89">
        <f>-231-BF68-BG68</f>
        <v>-72</v>
      </c>
      <c r="BI68" s="89">
        <f>-318-BH68-BG68-BF68</f>
        <v>-87</v>
      </c>
      <c r="BJ68" s="28">
        <f>SUM(BF68:BI68)</f>
        <v>-318</v>
      </c>
      <c r="BK68" s="89">
        <v>-99</v>
      </c>
      <c r="BL68" s="89">
        <f t="shared" ref="BL68" si="57">BO68-BK68</f>
        <v>-92</v>
      </c>
      <c r="BM68" s="89"/>
      <c r="BN68" s="89"/>
      <c r="BO68" s="28">
        <v>-191</v>
      </c>
    </row>
    <row r="69" spans="2:67" ht="24">
      <c r="B69" s="96" t="s">
        <v>216</v>
      </c>
      <c r="C69" s="89">
        <v>-479</v>
      </c>
      <c r="D69" s="89">
        <f>-479-C69</f>
        <v>0</v>
      </c>
      <c r="E69" s="89">
        <v>-336</v>
      </c>
      <c r="F69" s="90">
        <v>0</v>
      </c>
      <c r="G69" s="28">
        <f>SUM(C69:F69)</f>
        <v>-815</v>
      </c>
      <c r="H69" s="89">
        <v>-528</v>
      </c>
      <c r="I69" s="89">
        <f>-636-H69</f>
        <v>-108</v>
      </c>
      <c r="J69" s="89">
        <f>-1059-H69-I69</f>
        <v>-423</v>
      </c>
      <c r="K69" s="90">
        <f>-1059-H69-I69-J69</f>
        <v>0</v>
      </c>
      <c r="L69" s="28">
        <f>SUM(H69:K69)</f>
        <v>-1059</v>
      </c>
      <c r="M69" s="89">
        <v>-481</v>
      </c>
      <c r="N69" s="89">
        <f>-579-M69</f>
        <v>-98</v>
      </c>
      <c r="O69" s="89">
        <f>-1032-N69-M69</f>
        <v>-453</v>
      </c>
      <c r="P69" s="89">
        <v>0</v>
      </c>
      <c r="Q69" s="28">
        <f>SUM(M69:P69)</f>
        <v>-1032</v>
      </c>
      <c r="R69" s="89">
        <v>-522</v>
      </c>
      <c r="S69" s="89">
        <v>-108</v>
      </c>
      <c r="T69" s="89">
        <f>-1156-R69-S69</f>
        <v>-526</v>
      </c>
      <c r="U69" s="89">
        <f>-1156-T69-S69-R69</f>
        <v>0</v>
      </c>
      <c r="V69" s="28">
        <f>SUM(R69:U69)</f>
        <v>-1156</v>
      </c>
      <c r="W69" s="19">
        <v>-971</v>
      </c>
      <c r="X69" s="89">
        <f>-1164-W69</f>
        <v>-193</v>
      </c>
      <c r="Y69" s="89">
        <f>-1661-X69-W69</f>
        <v>-497</v>
      </c>
      <c r="Z69" s="89">
        <f>-1956-Y69-X69-W69</f>
        <v>-295</v>
      </c>
      <c r="AA69" s="28">
        <f>SUM(W69:Z69)</f>
        <v>-1956</v>
      </c>
      <c r="AB69" s="19">
        <v>-648</v>
      </c>
      <c r="AC69" s="19">
        <v>-139</v>
      </c>
      <c r="AD69" s="19">
        <v>-577</v>
      </c>
      <c r="AE69" s="89">
        <v>0</v>
      </c>
      <c r="AF69" s="28">
        <f>SUM(AB69:AE69)</f>
        <v>-1364</v>
      </c>
      <c r="AG69" s="19">
        <v>0</v>
      </c>
      <c r="AH69" s="19">
        <f>-542-AG69</f>
        <v>-542</v>
      </c>
      <c r="AI69" s="19">
        <f>-1229-AH69-AG69</f>
        <v>-687</v>
      </c>
      <c r="AJ69" s="89">
        <f>-1229-AI69-AH69-AG69</f>
        <v>0</v>
      </c>
      <c r="AK69" s="28">
        <f t="shared" si="51"/>
        <v>-1229</v>
      </c>
      <c r="AL69" s="19">
        <v>-861</v>
      </c>
      <c r="AM69" s="19">
        <f>-861-AL69</f>
        <v>0</v>
      </c>
      <c r="AN69" s="19">
        <f>-1703-AM69-AL69-11</f>
        <v>-853</v>
      </c>
      <c r="AO69" s="89">
        <f>-1714-AN69-AM69-AL69</f>
        <v>0</v>
      </c>
      <c r="AP69" s="28">
        <f t="shared" si="52"/>
        <v>-1714</v>
      </c>
      <c r="AQ69" s="19">
        <f>-856-3</f>
        <v>-859</v>
      </c>
      <c r="AR69" s="19">
        <f>-859-AQ69</f>
        <v>0</v>
      </c>
      <c r="AS69" s="19">
        <f>-1700-AR69-AQ69</f>
        <v>-841</v>
      </c>
      <c r="AT69" s="89">
        <f>-1700-AS69-AR69-AQ69</f>
        <v>0</v>
      </c>
      <c r="AU69" s="28">
        <f t="shared" si="53"/>
        <v>-1700</v>
      </c>
      <c r="AV69" s="19">
        <v>0</v>
      </c>
      <c r="AW69" s="19">
        <f>-883-AV69</f>
        <v>-883</v>
      </c>
      <c r="AX69" s="19">
        <f>-1777-SUM(AV69:AW69)</f>
        <v>-894</v>
      </c>
      <c r="AY69" s="89">
        <f>-1782-SUM(AV69:AX69)</f>
        <v>-5</v>
      </c>
      <c r="AZ69" s="28">
        <f t="shared" si="54"/>
        <v>-1782</v>
      </c>
      <c r="BA69" s="19">
        <v>0</v>
      </c>
      <c r="BB69" s="19">
        <f>-1386-BA69</f>
        <v>-1386</v>
      </c>
      <c r="BC69" s="19">
        <f>-2416-BB69-BA69</f>
        <v>-1030</v>
      </c>
      <c r="BD69" s="89">
        <f>-2416-SUM(BA69:BC69)</f>
        <v>0</v>
      </c>
      <c r="BE69" s="28">
        <f t="shared" si="55"/>
        <v>-2416</v>
      </c>
      <c r="BF69" s="19">
        <v>-1062</v>
      </c>
      <c r="BG69" s="19">
        <f>-1063-BF69</f>
        <v>-1</v>
      </c>
      <c r="BH69" s="19">
        <f>-2133-BF69-BG69</f>
        <v>-1070</v>
      </c>
      <c r="BI69" s="89">
        <f>-2133-BH69-BG69-BF69</f>
        <v>0</v>
      </c>
      <c r="BJ69" s="28">
        <f t="shared" si="56"/>
        <v>-2133</v>
      </c>
      <c r="BK69" s="19">
        <v>-1070</v>
      </c>
      <c r="BL69" s="89">
        <f t="shared" ref="BL69:BL74" si="58">BO69-BK69</f>
        <v>0</v>
      </c>
      <c r="BM69" s="19"/>
      <c r="BN69" s="89"/>
      <c r="BO69" s="28">
        <v>-1070</v>
      </c>
    </row>
    <row r="70" spans="2:67">
      <c r="B70" s="88" t="s">
        <v>258</v>
      </c>
      <c r="C70" s="89">
        <v>0</v>
      </c>
      <c r="D70" s="89">
        <v>0</v>
      </c>
      <c r="E70" s="89">
        <v>0</v>
      </c>
      <c r="F70" s="90">
        <v>0</v>
      </c>
      <c r="G70" s="28">
        <f>SUM(C70:F70)</f>
        <v>0</v>
      </c>
      <c r="H70" s="89">
        <v>0</v>
      </c>
      <c r="I70" s="89">
        <v>0</v>
      </c>
      <c r="J70" s="89">
        <v>0</v>
      </c>
      <c r="K70" s="89">
        <v>0</v>
      </c>
      <c r="L70" s="28">
        <f>SUM(H70:K70)</f>
        <v>0</v>
      </c>
      <c r="M70" s="89">
        <v>0</v>
      </c>
      <c r="N70" s="89">
        <v>0</v>
      </c>
      <c r="O70" s="89">
        <v>0</v>
      </c>
      <c r="P70" s="89">
        <v>0</v>
      </c>
      <c r="Q70" s="28">
        <f>SUM(M70:P70)</f>
        <v>0</v>
      </c>
      <c r="R70" s="89">
        <v>0</v>
      </c>
      <c r="S70" s="89">
        <v>0</v>
      </c>
      <c r="T70" s="89">
        <f>-2042-R70-S70</f>
        <v>-2042</v>
      </c>
      <c r="U70" s="89">
        <f>-2042-T70-S70-R70</f>
        <v>0</v>
      </c>
      <c r="V70" s="28">
        <f>SUM(R70:U70)</f>
        <v>-2042</v>
      </c>
      <c r="W70" s="19">
        <v>0</v>
      </c>
      <c r="X70" s="89">
        <v>0</v>
      </c>
      <c r="Y70" s="89">
        <f>0-X70-W70</f>
        <v>0</v>
      </c>
      <c r="Z70" s="89">
        <f>-118-Y70-X70-W70</f>
        <v>-118</v>
      </c>
      <c r="AA70" s="28">
        <f>SUM(W70:Z70)</f>
        <v>-118</v>
      </c>
      <c r="AB70" s="19">
        <v>-689</v>
      </c>
      <c r="AC70" s="19">
        <v>-381</v>
      </c>
      <c r="AD70" s="19">
        <v>0</v>
      </c>
      <c r="AE70" s="89">
        <v>0</v>
      </c>
      <c r="AF70" s="28">
        <f>SUM(AB70:AE70)</f>
        <v>-1070</v>
      </c>
      <c r="AG70" s="19">
        <v>0</v>
      </c>
      <c r="AH70" s="19">
        <f>0-AG70</f>
        <v>0</v>
      </c>
      <c r="AI70" s="19">
        <f>0-AH70-AG70</f>
        <v>0</v>
      </c>
      <c r="AJ70" s="89"/>
      <c r="AK70" s="28">
        <f t="shared" si="51"/>
        <v>0</v>
      </c>
      <c r="AL70" s="19">
        <v>-72</v>
      </c>
      <c r="AM70" s="19">
        <f>-1503-AL70</f>
        <v>-1431</v>
      </c>
      <c r="AN70" s="19">
        <f>-1503-AM70-AL70</f>
        <v>0</v>
      </c>
      <c r="AO70" s="89">
        <f>-1503-AN70-AM70-AL70</f>
        <v>0</v>
      </c>
      <c r="AP70" s="28">
        <f t="shared" si="52"/>
        <v>-1503</v>
      </c>
      <c r="AQ70" s="19">
        <v>0</v>
      </c>
      <c r="AR70" s="19">
        <f>0</f>
        <v>0</v>
      </c>
      <c r="AS70" s="19">
        <f>-475-AR70-AQ70</f>
        <v>-475</v>
      </c>
      <c r="AT70" s="89">
        <f>-1398-AS70-AR70-AQ70</f>
        <v>-923</v>
      </c>
      <c r="AU70" s="28">
        <f t="shared" si="53"/>
        <v>-1398</v>
      </c>
      <c r="AV70" s="19">
        <v>0</v>
      </c>
      <c r="AW70" s="19">
        <v>0</v>
      </c>
      <c r="AX70" s="19">
        <f>0-AW70-AV70</f>
        <v>0</v>
      </c>
      <c r="AY70" s="19">
        <f>0-AX70-AW70</f>
        <v>0</v>
      </c>
      <c r="AZ70" s="28">
        <f t="shared" si="54"/>
        <v>0</v>
      </c>
      <c r="BA70" s="19">
        <v>0</v>
      </c>
      <c r="BB70" s="19">
        <v>0</v>
      </c>
      <c r="BC70" s="19">
        <v>0</v>
      </c>
      <c r="BD70" s="19">
        <v>0</v>
      </c>
      <c r="BE70" s="28">
        <f t="shared" si="55"/>
        <v>0</v>
      </c>
      <c r="BF70" s="19">
        <v>0</v>
      </c>
      <c r="BG70" s="19">
        <v>0</v>
      </c>
      <c r="BH70" s="19">
        <f>-2005-BF70-BG70</f>
        <v>-2005</v>
      </c>
      <c r="BI70" s="19">
        <f>-2006-BH70-BG70-BF70</f>
        <v>-1</v>
      </c>
      <c r="BJ70" s="28">
        <f t="shared" si="56"/>
        <v>-2006</v>
      </c>
      <c r="BK70" s="19">
        <v>0</v>
      </c>
      <c r="BL70" s="89">
        <f t="shared" si="58"/>
        <v>0</v>
      </c>
      <c r="BM70" s="19"/>
      <c r="BN70" s="19"/>
      <c r="BO70" s="28">
        <v>0</v>
      </c>
    </row>
    <row r="71" spans="2:67">
      <c r="B71" s="88" t="s">
        <v>213</v>
      </c>
      <c r="C71" s="89"/>
      <c r="D71" s="89"/>
      <c r="E71" s="89"/>
      <c r="F71" s="90"/>
      <c r="G71" s="28"/>
      <c r="H71" s="89"/>
      <c r="I71" s="89"/>
      <c r="J71" s="89"/>
      <c r="K71" s="89"/>
      <c r="L71" s="28"/>
      <c r="M71" s="89"/>
      <c r="N71" s="89"/>
      <c r="O71" s="89"/>
      <c r="P71" s="89"/>
      <c r="Q71" s="28"/>
      <c r="R71" s="89"/>
      <c r="S71" s="89"/>
      <c r="T71" s="89"/>
      <c r="U71" s="89"/>
      <c r="V71" s="28"/>
      <c r="W71" s="19"/>
      <c r="X71" s="89"/>
      <c r="Y71" s="89"/>
      <c r="Z71" s="89"/>
      <c r="AA71" s="28"/>
      <c r="AB71" s="19"/>
      <c r="AC71" s="19"/>
      <c r="AD71" s="19"/>
      <c r="AE71" s="89"/>
      <c r="AF71" s="28"/>
      <c r="AG71" s="19">
        <v>0</v>
      </c>
      <c r="AH71" s="19">
        <v>0</v>
      </c>
      <c r="AI71" s="19">
        <f>-7-AH71-AG71</f>
        <v>-7</v>
      </c>
      <c r="AJ71" s="89">
        <f>-7-AI71-AH71-AG71</f>
        <v>0</v>
      </c>
      <c r="AK71" s="28">
        <f t="shared" si="51"/>
        <v>-7</v>
      </c>
      <c r="AL71" s="19">
        <v>0</v>
      </c>
      <c r="AM71" s="19">
        <v>0</v>
      </c>
      <c r="AN71" s="19">
        <f>0-AM71-AL71</f>
        <v>0</v>
      </c>
      <c r="AO71" s="89">
        <f>AN71-AM71-AL71</f>
        <v>0</v>
      </c>
      <c r="AP71" s="28">
        <f t="shared" si="52"/>
        <v>0</v>
      </c>
      <c r="AQ71" s="19">
        <v>0</v>
      </c>
      <c r="AR71" s="19">
        <v>0</v>
      </c>
      <c r="AS71" s="19">
        <v>0</v>
      </c>
      <c r="AT71" s="89">
        <v>0</v>
      </c>
      <c r="AU71" s="28">
        <f t="shared" si="53"/>
        <v>0</v>
      </c>
      <c r="AV71" s="19">
        <v>0</v>
      </c>
      <c r="AW71" s="19">
        <v>0</v>
      </c>
      <c r="AX71" s="19">
        <f>-2-AW71-AV71</f>
        <v>-2</v>
      </c>
      <c r="AY71" s="89">
        <v>0</v>
      </c>
      <c r="AZ71" s="28">
        <f t="shared" si="54"/>
        <v>-2</v>
      </c>
      <c r="BA71" s="19">
        <v>0</v>
      </c>
      <c r="BB71" s="19">
        <v>0</v>
      </c>
      <c r="BC71" s="19">
        <v>0</v>
      </c>
      <c r="BD71" s="19">
        <v>0</v>
      </c>
      <c r="BE71" s="28">
        <f t="shared" si="55"/>
        <v>0</v>
      </c>
      <c r="BF71" s="19">
        <v>0</v>
      </c>
      <c r="BG71" s="19">
        <v>0</v>
      </c>
      <c r="BH71" s="19">
        <v>0</v>
      </c>
      <c r="BI71" s="19">
        <v>0</v>
      </c>
      <c r="BJ71" s="28">
        <f t="shared" si="56"/>
        <v>0</v>
      </c>
      <c r="BK71" s="19">
        <v>0</v>
      </c>
      <c r="BL71" s="89">
        <f t="shared" si="58"/>
        <v>0</v>
      </c>
      <c r="BM71" s="19"/>
      <c r="BN71" s="19"/>
      <c r="BO71" s="28">
        <v>0</v>
      </c>
    </row>
    <row r="72" spans="2:67">
      <c r="B72" s="88" t="s">
        <v>487</v>
      </c>
      <c r="C72" s="89"/>
      <c r="D72" s="89"/>
      <c r="E72" s="89"/>
      <c r="F72" s="90"/>
      <c r="G72" s="28"/>
      <c r="H72" s="89"/>
      <c r="I72" s="89"/>
      <c r="J72" s="89"/>
      <c r="K72" s="89"/>
      <c r="L72" s="28"/>
      <c r="M72" s="89"/>
      <c r="N72" s="89"/>
      <c r="O72" s="89"/>
      <c r="P72" s="89"/>
      <c r="Q72" s="28"/>
      <c r="R72" s="89"/>
      <c r="S72" s="89"/>
      <c r="T72" s="89"/>
      <c r="U72" s="89"/>
      <c r="V72" s="28"/>
      <c r="W72" s="19"/>
      <c r="X72" s="89"/>
      <c r="Y72" s="89"/>
      <c r="Z72" s="89"/>
      <c r="AA72" s="28"/>
      <c r="AB72" s="19"/>
      <c r="AC72" s="19"/>
      <c r="AD72" s="19"/>
      <c r="AE72" s="89"/>
      <c r="AF72" s="28"/>
      <c r="AG72" s="19"/>
      <c r="AH72" s="19"/>
      <c r="AI72" s="19"/>
      <c r="AJ72" s="89"/>
      <c r="AK72" s="28"/>
      <c r="AL72" s="19"/>
      <c r="AM72" s="19"/>
      <c r="AN72" s="19"/>
      <c r="AO72" s="89"/>
      <c r="AP72" s="28"/>
      <c r="AQ72" s="19"/>
      <c r="AR72" s="19"/>
      <c r="AS72" s="19"/>
      <c r="AT72" s="89"/>
      <c r="AU72" s="28"/>
      <c r="AV72" s="19"/>
      <c r="AW72" s="19"/>
      <c r="AX72" s="19"/>
      <c r="AY72" s="89"/>
      <c r="AZ72" s="28"/>
      <c r="BA72" s="19"/>
      <c r="BB72" s="19">
        <v>-118</v>
      </c>
      <c r="BC72" s="19">
        <f>-118-BB72-BA72</f>
        <v>0</v>
      </c>
      <c r="BD72" s="89">
        <f>-118-SUM(BA72:BC72)</f>
        <v>0</v>
      </c>
      <c r="BE72" s="28">
        <f t="shared" si="55"/>
        <v>-118</v>
      </c>
      <c r="BF72" s="19">
        <v>0</v>
      </c>
      <c r="BG72" s="19">
        <f>0</f>
        <v>0</v>
      </c>
      <c r="BH72" s="19">
        <f>0</f>
        <v>0</v>
      </c>
      <c r="BI72" s="19">
        <f>0</f>
        <v>0</v>
      </c>
      <c r="BJ72" s="28">
        <f t="shared" si="56"/>
        <v>0</v>
      </c>
      <c r="BK72" s="19">
        <v>-85</v>
      </c>
      <c r="BL72" s="89">
        <f t="shared" si="58"/>
        <v>0</v>
      </c>
      <c r="BM72" s="19"/>
      <c r="BN72" s="19"/>
      <c r="BO72" s="28">
        <v>-85</v>
      </c>
    </row>
    <row r="73" spans="2:67">
      <c r="B73" s="88" t="s">
        <v>214</v>
      </c>
      <c r="C73" s="89"/>
      <c r="D73" s="89"/>
      <c r="E73" s="89"/>
      <c r="F73" s="90"/>
      <c r="G73" s="28"/>
      <c r="H73" s="89"/>
      <c r="I73" s="89"/>
      <c r="J73" s="89"/>
      <c r="K73" s="89"/>
      <c r="L73" s="28"/>
      <c r="M73" s="89"/>
      <c r="N73" s="89"/>
      <c r="O73" s="89"/>
      <c r="P73" s="89"/>
      <c r="Q73" s="28"/>
      <c r="R73" s="89"/>
      <c r="S73" s="89"/>
      <c r="T73" s="89"/>
      <c r="U73" s="89"/>
      <c r="V73" s="28"/>
      <c r="W73" s="19"/>
      <c r="X73" s="89"/>
      <c r="Y73" s="89"/>
      <c r="Z73" s="89"/>
      <c r="AA73" s="28"/>
      <c r="AB73" s="19"/>
      <c r="AC73" s="19"/>
      <c r="AD73" s="19"/>
      <c r="AE73" s="89"/>
      <c r="AF73" s="28"/>
      <c r="AG73" s="19"/>
      <c r="AH73" s="19">
        <f>-AG73</f>
        <v>0</v>
      </c>
      <c r="AI73" s="19">
        <f>11-AH73-AG73</f>
        <v>11</v>
      </c>
      <c r="AJ73" s="89">
        <f>11-AI73-AH73-AG73</f>
        <v>0</v>
      </c>
      <c r="AK73" s="28">
        <f t="shared" si="51"/>
        <v>11</v>
      </c>
      <c r="AL73" s="19">
        <v>6</v>
      </c>
      <c r="AM73" s="19">
        <f>16-AL73</f>
        <v>10</v>
      </c>
      <c r="AN73" s="19">
        <f>28-AM73-AL73</f>
        <v>12</v>
      </c>
      <c r="AO73" s="89">
        <f>32-AN73-AM73-AL73</f>
        <v>4</v>
      </c>
      <c r="AP73" s="28">
        <f t="shared" si="52"/>
        <v>32</v>
      </c>
      <c r="AQ73" s="19">
        <v>9</v>
      </c>
      <c r="AR73" s="19">
        <f>11-AQ73</f>
        <v>2</v>
      </c>
      <c r="AS73" s="19">
        <f>15-AR73-AQ73</f>
        <v>4</v>
      </c>
      <c r="AT73" s="89">
        <f>16-AS73-AR73-AQ73</f>
        <v>1</v>
      </c>
      <c r="AU73" s="28">
        <f t="shared" si="53"/>
        <v>16</v>
      </c>
      <c r="AV73" s="19">
        <v>0</v>
      </c>
      <c r="AW73" s="19">
        <f>3-AV73</f>
        <v>3</v>
      </c>
      <c r="AX73" s="19">
        <f>0-AW73-AV73</f>
        <v>-3</v>
      </c>
      <c r="AY73" s="89">
        <f>0-SUM(AV73:AX73)</f>
        <v>0</v>
      </c>
      <c r="AZ73" s="28">
        <f t="shared" si="54"/>
        <v>0</v>
      </c>
      <c r="BA73" s="19">
        <v>0</v>
      </c>
      <c r="BB73" s="19">
        <f>0-BA73</f>
        <v>0</v>
      </c>
      <c r="BC73" s="19">
        <f>0-BB73-BA73</f>
        <v>0</v>
      </c>
      <c r="BD73" s="19">
        <f>0-BC73-BB73</f>
        <v>0</v>
      </c>
      <c r="BE73" s="28">
        <f t="shared" si="55"/>
        <v>0</v>
      </c>
      <c r="BF73" s="19"/>
      <c r="BG73" s="19"/>
      <c r="BH73" s="19"/>
      <c r="BI73" s="19"/>
      <c r="BJ73" s="28">
        <f t="shared" si="56"/>
        <v>0</v>
      </c>
      <c r="BK73" s="19">
        <v>0</v>
      </c>
      <c r="BL73" s="89">
        <f t="shared" si="58"/>
        <v>0</v>
      </c>
      <c r="BM73" s="19"/>
      <c r="BN73" s="19"/>
      <c r="BO73" s="28">
        <v>0</v>
      </c>
    </row>
    <row r="74" spans="2:67" ht="13.5">
      <c r="B74" s="88" t="s">
        <v>215</v>
      </c>
      <c r="C74" s="150"/>
      <c r="D74" s="150"/>
      <c r="E74" s="150"/>
      <c r="F74" s="153"/>
      <c r="G74" s="105"/>
      <c r="H74" s="150"/>
      <c r="I74" s="150"/>
      <c r="J74" s="150"/>
      <c r="K74" s="150"/>
      <c r="L74" s="105"/>
      <c r="M74" s="150"/>
      <c r="N74" s="150"/>
      <c r="O74" s="150"/>
      <c r="P74" s="150"/>
      <c r="Q74" s="105"/>
      <c r="R74" s="150"/>
      <c r="S74" s="150"/>
      <c r="T74" s="150"/>
      <c r="U74" s="150"/>
      <c r="V74" s="105"/>
      <c r="W74" s="209"/>
      <c r="X74" s="150"/>
      <c r="Y74" s="150"/>
      <c r="Z74" s="150"/>
      <c r="AA74" s="105"/>
      <c r="AB74" s="209"/>
      <c r="AC74" s="209"/>
      <c r="AD74" s="209"/>
      <c r="AE74" s="150"/>
      <c r="AF74" s="105"/>
      <c r="AG74" s="209"/>
      <c r="AH74" s="209"/>
      <c r="AI74" s="209"/>
      <c r="AJ74" s="150"/>
      <c r="AK74" s="105"/>
      <c r="AL74" s="209">
        <v>0</v>
      </c>
      <c r="AM74" s="209">
        <f>-2-AL74</f>
        <v>-2</v>
      </c>
      <c r="AN74" s="209">
        <f>-3-AM74-AL74</f>
        <v>-1</v>
      </c>
      <c r="AO74" s="150">
        <f>-17-AN74-AM74-AL74</f>
        <v>-14</v>
      </c>
      <c r="AP74" s="105">
        <f t="shared" si="52"/>
        <v>-17</v>
      </c>
      <c r="AQ74" s="209">
        <v>-15</v>
      </c>
      <c r="AR74" s="209">
        <f>-28-AQ74</f>
        <v>-13</v>
      </c>
      <c r="AS74" s="209">
        <f>-45-AR74-AQ74</f>
        <v>-17</v>
      </c>
      <c r="AT74" s="150">
        <f>-59-AS74-AR74-AQ74</f>
        <v>-14</v>
      </c>
      <c r="AU74" s="105">
        <f t="shared" si="53"/>
        <v>-59</v>
      </c>
      <c r="AV74" s="209">
        <v>-25</v>
      </c>
      <c r="AW74" s="209">
        <f>-40-AV74</f>
        <v>-15</v>
      </c>
      <c r="AX74" s="209">
        <f>-64-SUM(AV74:AW74)</f>
        <v>-24</v>
      </c>
      <c r="AY74" s="150">
        <f>-88-SUM(AV74:AX74)</f>
        <v>-24</v>
      </c>
      <c r="AZ74" s="105">
        <f t="shared" si="54"/>
        <v>-88</v>
      </c>
      <c r="BA74" s="209">
        <v>-14</v>
      </c>
      <c r="BB74" s="209">
        <f>-32-BA74</f>
        <v>-18</v>
      </c>
      <c r="BC74" s="209">
        <f>-54-BB74-BA74</f>
        <v>-22</v>
      </c>
      <c r="BD74" s="209">
        <f>-64-SUM(BA74:BC74)</f>
        <v>-10</v>
      </c>
      <c r="BE74" s="105">
        <f t="shared" si="55"/>
        <v>-64</v>
      </c>
      <c r="BF74" s="209">
        <v>-6</v>
      </c>
      <c r="BG74" s="209">
        <f>-21-BF74</f>
        <v>-15</v>
      </c>
      <c r="BH74" s="209">
        <f>-26-BF74-BG74</f>
        <v>-5</v>
      </c>
      <c r="BI74" s="209">
        <f>-28-BH74-BG74-BF74</f>
        <v>-2</v>
      </c>
      <c r="BJ74" s="105">
        <f t="shared" si="56"/>
        <v>-28</v>
      </c>
      <c r="BK74" s="209">
        <v>-4</v>
      </c>
      <c r="BL74" s="209">
        <f t="shared" si="58"/>
        <v>-2</v>
      </c>
      <c r="BM74" s="209"/>
      <c r="BN74" s="209"/>
      <c r="BO74" s="105">
        <v>-6</v>
      </c>
    </row>
    <row r="75" spans="2:67">
      <c r="B75" s="88"/>
      <c r="C75" s="89"/>
      <c r="D75" s="89"/>
      <c r="E75" s="89"/>
      <c r="F75" s="90"/>
      <c r="G75" s="28"/>
      <c r="H75" s="89"/>
      <c r="I75" s="89"/>
      <c r="J75" s="89"/>
      <c r="K75" s="90"/>
      <c r="L75" s="28"/>
      <c r="M75" s="89"/>
      <c r="N75" s="89"/>
      <c r="O75" s="89"/>
      <c r="P75" s="89"/>
      <c r="Q75" s="28"/>
      <c r="R75" s="89"/>
      <c r="S75" s="89"/>
      <c r="T75" s="89"/>
      <c r="U75" s="89"/>
      <c r="V75" s="28"/>
      <c r="W75" s="19"/>
      <c r="X75" s="89"/>
      <c r="Y75" s="89"/>
      <c r="Z75" s="89"/>
      <c r="AA75" s="28"/>
      <c r="AB75" s="19"/>
      <c r="AC75" s="19"/>
      <c r="AD75" s="19"/>
      <c r="AE75" s="89"/>
      <c r="AF75" s="28"/>
      <c r="AG75" s="19"/>
      <c r="AH75" s="19"/>
      <c r="AI75" s="19"/>
      <c r="AJ75" s="89"/>
      <c r="AK75" s="28"/>
      <c r="AL75" s="19"/>
      <c r="AM75" s="19"/>
      <c r="AN75" s="19"/>
      <c r="AO75" s="89"/>
      <c r="AP75" s="28"/>
      <c r="AQ75" s="19"/>
      <c r="AR75" s="19"/>
      <c r="AS75" s="19"/>
      <c r="AT75" s="89"/>
      <c r="AU75" s="28"/>
      <c r="AV75" s="19"/>
      <c r="AW75" s="19"/>
      <c r="AX75" s="19"/>
      <c r="AY75" s="89"/>
      <c r="AZ75" s="28"/>
      <c r="BA75" s="19"/>
      <c r="BB75" s="19"/>
      <c r="BC75" s="19"/>
      <c r="BD75" s="89"/>
      <c r="BE75" s="28"/>
      <c r="BF75" s="19"/>
      <c r="BG75" s="19"/>
      <c r="BH75" s="19"/>
      <c r="BI75" s="89"/>
      <c r="BJ75" s="28"/>
      <c r="BK75" s="19"/>
      <c r="BL75" s="19"/>
      <c r="BM75" s="19"/>
      <c r="BN75" s="89"/>
      <c r="BO75" s="28"/>
    </row>
    <row r="76" spans="2:67" s="39" customFormat="1">
      <c r="B76" s="87" t="s">
        <v>217</v>
      </c>
      <c r="C76" s="93">
        <f>SUM(C67:C74)</f>
        <v>-479</v>
      </c>
      <c r="D76" s="93">
        <f>SUM(D67:D74)</f>
        <v>0</v>
      </c>
      <c r="E76" s="93">
        <f>SUM(E67:E74)</f>
        <v>-336</v>
      </c>
      <c r="F76" s="93">
        <f>SUM(F67:F74)</f>
        <v>0</v>
      </c>
      <c r="G76" s="24">
        <f>SUM(C76:F76)</f>
        <v>-815</v>
      </c>
      <c r="H76" s="93">
        <f>SUM(H67:H74)</f>
        <v>-528</v>
      </c>
      <c r="I76" s="93">
        <f>SUM(I67:I74)</f>
        <v>-108</v>
      </c>
      <c r="J76" s="93">
        <f>SUM(J67:J74)</f>
        <v>-423</v>
      </c>
      <c r="K76" s="93">
        <f>SUM(K67:K74)</f>
        <v>0</v>
      </c>
      <c r="L76" s="24">
        <f>SUM(H76:K76)</f>
        <v>-1059</v>
      </c>
      <c r="M76" s="93">
        <f>SUM(M67:M74)</f>
        <v>-481</v>
      </c>
      <c r="N76" s="93">
        <f>SUM(N67:N74)</f>
        <v>-98</v>
      </c>
      <c r="O76" s="93">
        <f>SUM(O67:O74)</f>
        <v>-453</v>
      </c>
      <c r="P76" s="93">
        <f>SUM(P67:P74)</f>
        <v>0</v>
      </c>
      <c r="Q76" s="24">
        <f>SUM(M76:P76)</f>
        <v>-1032</v>
      </c>
      <c r="R76" s="93">
        <f>SUM(R67:R74)</f>
        <v>-522</v>
      </c>
      <c r="S76" s="93">
        <f>SUM(S67:S74)</f>
        <v>-108</v>
      </c>
      <c r="T76" s="93">
        <f>SUM(T67:T74)</f>
        <v>-2568</v>
      </c>
      <c r="U76" s="93">
        <f>SUM(U67:U74)</f>
        <v>1</v>
      </c>
      <c r="V76" s="24">
        <f>SUM(R76:U76)</f>
        <v>-3197</v>
      </c>
      <c r="W76" s="23">
        <f>SUM(W67:W74)</f>
        <v>-971</v>
      </c>
      <c r="X76" s="23">
        <f>SUM(X67:X74)</f>
        <v>-193</v>
      </c>
      <c r="Y76" s="23">
        <f>SUM(Y67:Y74)</f>
        <v>-496</v>
      </c>
      <c r="Z76" s="23">
        <f>SUM(Z67:Z74)</f>
        <v>-413</v>
      </c>
      <c r="AA76" s="24">
        <f>SUM(W76:Z76)</f>
        <v>-2073</v>
      </c>
      <c r="AB76" s="23">
        <f>SUM(AB67:AB74)</f>
        <v>-1357</v>
      </c>
      <c r="AC76" s="23">
        <f>SUM(AC67:AC74)</f>
        <v>-542</v>
      </c>
      <c r="AD76" s="23">
        <f>SUM(AD67:AD74)</f>
        <v>-596</v>
      </c>
      <c r="AE76" s="23">
        <f>SUM(AE67:AE74)</f>
        <v>-18</v>
      </c>
      <c r="AF76" s="24">
        <f>SUM(AB76:AE76)</f>
        <v>-2513</v>
      </c>
      <c r="AG76" s="23">
        <f>SUM(AG67:AG74)</f>
        <v>-18</v>
      </c>
      <c r="AH76" s="23">
        <f>SUM(AH67:AH74)</f>
        <v>-570</v>
      </c>
      <c r="AI76" s="23">
        <f>SUM(AI67:AI74)</f>
        <v>-707</v>
      </c>
      <c r="AJ76" s="23">
        <f>SUM(AJ67:AJ74)</f>
        <v>-22</v>
      </c>
      <c r="AK76" s="24">
        <f>SUM(AG76:AJ76)</f>
        <v>-1317</v>
      </c>
      <c r="AL76" s="23">
        <f>SUM(AL67:AL74)</f>
        <v>-954</v>
      </c>
      <c r="AM76" s="23">
        <f>SUM(AM67:AM74)</f>
        <v>-1452</v>
      </c>
      <c r="AN76" s="23">
        <f>SUM(AN67:AN74)</f>
        <v>-870</v>
      </c>
      <c r="AO76" s="23">
        <f>SUM(AO67:AO74)</f>
        <v>-49</v>
      </c>
      <c r="AP76" s="24">
        <f>SUM(AL76:AO76)</f>
        <v>-3325</v>
      </c>
      <c r="AQ76" s="23">
        <f>SUM(AQ67:AQ74)</f>
        <v>-896</v>
      </c>
      <c r="AR76" s="23">
        <f>SUM(AR67:AR74)</f>
        <v>-46</v>
      </c>
      <c r="AS76" s="23">
        <f>SUM(AS67:AS74)</f>
        <v>-1367</v>
      </c>
      <c r="AT76" s="23">
        <f>SUM(AT67:AT74)</f>
        <v>-979</v>
      </c>
      <c r="AU76" s="24">
        <f>SUM(AQ76:AT76)</f>
        <v>-3288</v>
      </c>
      <c r="AV76" s="23">
        <f>SUM(AV67:AV74)</f>
        <v>-79</v>
      </c>
      <c r="AW76" s="23">
        <f>SUM(AW67:AW74)</f>
        <v>-953</v>
      </c>
      <c r="AX76" s="23">
        <f>SUM(AX67:AX74)</f>
        <v>-985</v>
      </c>
      <c r="AY76" s="23">
        <f>SUM(AY67:AY74)</f>
        <v>-99</v>
      </c>
      <c r="AZ76" s="24">
        <f>SUM(AV76:AY76)</f>
        <v>-2116</v>
      </c>
      <c r="BA76" s="23">
        <f>SUM(BA67:BA74)</f>
        <v>-83</v>
      </c>
      <c r="BB76" s="23">
        <f>SUM(BB67:BB74)</f>
        <v>-1595</v>
      </c>
      <c r="BC76" s="23">
        <f>SUM(BC67:BC74)</f>
        <v>-1121</v>
      </c>
      <c r="BD76" s="23">
        <f>SUM(BD67:BD74)</f>
        <v>-76</v>
      </c>
      <c r="BE76" s="24">
        <f>SUM(BA76:BD76)</f>
        <v>-2875</v>
      </c>
      <c r="BF76" s="23">
        <f>SUM(BF67:BF74)</f>
        <v>-1150</v>
      </c>
      <c r="BG76" s="23">
        <f>SUM(BG67:BG74)</f>
        <v>-93</v>
      </c>
      <c r="BH76" s="23">
        <f>SUM(BH67:BH74)</f>
        <v>-3152</v>
      </c>
      <c r="BI76" s="23">
        <f>SUM(BI67:BI74)</f>
        <v>-90</v>
      </c>
      <c r="BJ76" s="24">
        <f>SUM(BF76:BI76)</f>
        <v>-4485</v>
      </c>
      <c r="BK76" s="23">
        <f>SUM(BK67:BK74)</f>
        <v>-1258</v>
      </c>
      <c r="BL76" s="23">
        <f>SUM(BL67:BL74)</f>
        <v>-94</v>
      </c>
      <c r="BM76" s="23"/>
      <c r="BN76" s="23"/>
      <c r="BO76" s="24">
        <f>SUM(BO67:BO74)</f>
        <v>-1352</v>
      </c>
    </row>
    <row r="77" spans="2:67">
      <c r="B77" s="88"/>
      <c r="C77" s="89"/>
      <c r="D77" s="89"/>
      <c r="E77" s="89"/>
      <c r="F77" s="90"/>
      <c r="G77" s="28"/>
      <c r="H77" s="89"/>
      <c r="I77" s="89"/>
      <c r="J77" s="89"/>
      <c r="K77" s="90"/>
      <c r="L77" s="28"/>
      <c r="M77" s="89"/>
      <c r="N77" s="89"/>
      <c r="O77" s="89"/>
      <c r="P77" s="89"/>
      <c r="Q77" s="28"/>
      <c r="R77" s="89"/>
      <c r="S77" s="89"/>
      <c r="T77" s="89"/>
      <c r="U77" s="89"/>
      <c r="V77" s="28"/>
      <c r="W77" s="19"/>
      <c r="X77" s="89"/>
      <c r="Y77" s="89"/>
      <c r="Z77" s="89"/>
      <c r="AA77" s="28"/>
      <c r="AB77" s="19"/>
      <c r="AC77" s="19"/>
      <c r="AD77" s="19"/>
      <c r="AE77" s="89"/>
      <c r="AF77" s="28"/>
      <c r="AG77" s="19"/>
      <c r="AH77" s="19"/>
      <c r="AI77" s="19"/>
      <c r="AJ77" s="89"/>
      <c r="AK77" s="28"/>
      <c r="AL77" s="19"/>
      <c r="AM77" s="19"/>
      <c r="AN77" s="19"/>
      <c r="AO77" s="89"/>
      <c r="AP77" s="28"/>
      <c r="AQ77" s="19"/>
      <c r="AR77" s="19"/>
      <c r="AS77" s="19"/>
      <c r="AT77" s="89"/>
      <c r="AU77" s="28"/>
      <c r="AV77" s="19"/>
      <c r="AW77" s="19"/>
      <c r="AX77" s="19"/>
      <c r="AY77" s="89"/>
      <c r="AZ77" s="28"/>
      <c r="BA77" s="19"/>
      <c r="BB77" s="19"/>
      <c r="BC77" s="19"/>
      <c r="BD77" s="89"/>
      <c r="BE77" s="28"/>
      <c r="BF77" s="19"/>
      <c r="BG77" s="19"/>
      <c r="BH77" s="19"/>
      <c r="BI77" s="89"/>
      <c r="BJ77" s="28"/>
      <c r="BK77" s="19"/>
      <c r="BL77" s="19"/>
      <c r="BM77" s="19"/>
      <c r="BN77" s="89"/>
      <c r="BO77" s="28"/>
    </row>
    <row r="78" spans="2:67">
      <c r="B78" s="88" t="s">
        <v>218</v>
      </c>
      <c r="C78" s="89">
        <v>-25</v>
      </c>
      <c r="D78" s="89">
        <f>-140-C78</f>
        <v>-115</v>
      </c>
      <c r="E78" s="89">
        <v>-111</v>
      </c>
      <c r="F78" s="90">
        <v>43</v>
      </c>
      <c r="G78" s="28">
        <f>SUM(C78:F78)</f>
        <v>-208</v>
      </c>
      <c r="H78" s="89">
        <v>-84</v>
      </c>
      <c r="I78" s="89">
        <f>-220-H78</f>
        <v>-136</v>
      </c>
      <c r="J78" s="89">
        <f>-258-H78-I78</f>
        <v>-38</v>
      </c>
      <c r="K78" s="90">
        <f>-253-H78-I78-J78</f>
        <v>5</v>
      </c>
      <c r="L78" s="28">
        <f>SUM(H78:K78)</f>
        <v>-253</v>
      </c>
      <c r="M78" s="89">
        <v>-97</v>
      </c>
      <c r="N78" s="89">
        <f>-39-M78</f>
        <v>58</v>
      </c>
      <c r="O78" s="89">
        <f>-125-N78-M78</f>
        <v>-86</v>
      </c>
      <c r="P78" s="89">
        <v>159</v>
      </c>
      <c r="Q78" s="28">
        <f>SUM(M78:P78)</f>
        <v>34</v>
      </c>
      <c r="R78" s="89">
        <v>20</v>
      </c>
      <c r="S78" s="89">
        <v>-36</v>
      </c>
      <c r="T78" s="89">
        <f>70-R78-S78</f>
        <v>86</v>
      </c>
      <c r="U78" s="89">
        <f>18-T78-S78-R78</f>
        <v>-52</v>
      </c>
      <c r="V78" s="28">
        <f>SUM(R78:U78)</f>
        <v>18</v>
      </c>
      <c r="W78" s="19">
        <v>-157</v>
      </c>
      <c r="X78" s="89">
        <f>-273-W78</f>
        <v>-116</v>
      </c>
      <c r="Y78" s="89">
        <f>-210-X78-W78</f>
        <v>63</v>
      </c>
      <c r="Z78" s="89">
        <f>-184-Y78-X78-W78</f>
        <v>26</v>
      </c>
      <c r="AA78" s="28">
        <f>SUM(W78:Z78)</f>
        <v>-184</v>
      </c>
      <c r="AB78" s="19">
        <v>5</v>
      </c>
      <c r="AC78" s="19">
        <v>-65</v>
      </c>
      <c r="AD78" s="19">
        <v>-6</v>
      </c>
      <c r="AE78" s="89">
        <v>-154</v>
      </c>
      <c r="AF78" s="28">
        <f>SUM(AB78:AE78)</f>
        <v>-220</v>
      </c>
      <c r="AG78" s="19">
        <v>16</v>
      </c>
      <c r="AH78" s="19">
        <f>84-AG78</f>
        <v>68</v>
      </c>
      <c r="AI78" s="19">
        <f>123-AH78-AG78-1</f>
        <v>38</v>
      </c>
      <c r="AJ78" s="89">
        <f>103-AI78-AH78-AG78</f>
        <v>-19</v>
      </c>
      <c r="AK78" s="28">
        <f>SUM(AG78:AJ78)</f>
        <v>103</v>
      </c>
      <c r="AL78" s="19">
        <v>-46</v>
      </c>
      <c r="AM78" s="19">
        <f>-54-AL78</f>
        <v>-8</v>
      </c>
      <c r="AN78" s="19">
        <f>-61-AM78-AL78</f>
        <v>-7</v>
      </c>
      <c r="AO78" s="89">
        <f>-90-AN78-AM78-AL78</f>
        <v>-29</v>
      </c>
      <c r="AP78" s="28">
        <f>SUM(AL78:AO78)</f>
        <v>-90</v>
      </c>
      <c r="AQ78" s="19">
        <v>-104</v>
      </c>
      <c r="AR78" s="19">
        <f>-169-AQ78</f>
        <v>-65</v>
      </c>
      <c r="AS78" s="19">
        <f>-198-29-AR78-AQ78</f>
        <v>-58</v>
      </c>
      <c r="AT78" s="19">
        <f>-171-AS78-AR78-AQ78</f>
        <v>56</v>
      </c>
      <c r="AU78" s="28">
        <f>SUM(AQ78:AT78)</f>
        <v>-171</v>
      </c>
      <c r="AV78" s="19">
        <v>7</v>
      </c>
      <c r="AW78" s="19">
        <f>-19-AV78</f>
        <v>-26</v>
      </c>
      <c r="AX78" s="19">
        <f>-17-AW78-AV78</f>
        <v>2</v>
      </c>
      <c r="AY78" s="19">
        <f>-32-SUM(AV78:AX78)</f>
        <v>-15</v>
      </c>
      <c r="AZ78" s="28">
        <f>SUM(AV78:AY78)</f>
        <v>-32</v>
      </c>
      <c r="BA78" s="19">
        <v>-4</v>
      </c>
      <c r="BB78" s="19">
        <f>-6-BA78</f>
        <v>-2</v>
      </c>
      <c r="BC78" s="19">
        <f>-87-BB78-BA78</f>
        <v>-81</v>
      </c>
      <c r="BD78" s="19">
        <f>-27-SUM(BA78:BC78)</f>
        <v>60</v>
      </c>
      <c r="BE78" s="28">
        <f>SUM(BA78:BD78)</f>
        <v>-27</v>
      </c>
      <c r="BF78" s="19">
        <v>17</v>
      </c>
      <c r="BG78" s="19">
        <f>-34-BF78</f>
        <v>-51</v>
      </c>
      <c r="BH78" s="19">
        <f>-81-BF78-BG78</f>
        <v>-47</v>
      </c>
      <c r="BI78" s="19">
        <f>-84-BH78-BG78-BF78</f>
        <v>-3</v>
      </c>
      <c r="BJ78" s="28">
        <f>SUM(BF78:BI78)</f>
        <v>-84</v>
      </c>
      <c r="BK78" s="19">
        <v>10</v>
      </c>
      <c r="BL78" s="19">
        <f>BO78-BK78</f>
        <v>-24</v>
      </c>
      <c r="BM78" s="19"/>
      <c r="BN78" s="19"/>
      <c r="BO78" s="28">
        <v>-14</v>
      </c>
    </row>
    <row r="79" spans="2:67">
      <c r="B79" s="88" t="s">
        <v>259</v>
      </c>
      <c r="C79" s="89">
        <v>-142</v>
      </c>
      <c r="D79" s="89">
        <f>413-C79</f>
        <v>555</v>
      </c>
      <c r="E79" s="89">
        <v>587</v>
      </c>
      <c r="F79" s="89">
        <v>-264</v>
      </c>
      <c r="G79" s="28">
        <f>SUM(C79:F79)</f>
        <v>736</v>
      </c>
      <c r="H79" s="89">
        <v>-354</v>
      </c>
      <c r="I79" s="89">
        <f>-73-H79</f>
        <v>281</v>
      </c>
      <c r="J79" s="89">
        <f>-146-H79-I79</f>
        <v>-73</v>
      </c>
      <c r="K79" s="89">
        <f>329-H79-I79-J79</f>
        <v>475</v>
      </c>
      <c r="L79" s="28">
        <f>SUM(H79:K79)</f>
        <v>329</v>
      </c>
      <c r="M79" s="89">
        <f>M35+M64+M76</f>
        <v>-240</v>
      </c>
      <c r="N79" s="89">
        <f>N35+N64+N76</f>
        <v>107</v>
      </c>
      <c r="O79" s="89">
        <f>O35+O64+O76</f>
        <v>-833</v>
      </c>
      <c r="P79" s="89">
        <f>P35+P64+P76</f>
        <v>-514</v>
      </c>
      <c r="Q79" s="28">
        <f>SUM(M79:P79)</f>
        <v>-1480</v>
      </c>
      <c r="R79" s="89">
        <f>R35+R64+R76</f>
        <v>70</v>
      </c>
      <c r="S79" s="89">
        <f>S35+S64+S76</f>
        <v>32</v>
      </c>
      <c r="T79" s="89">
        <f>T35+T64+T76</f>
        <v>-435</v>
      </c>
      <c r="U79" s="89">
        <f>U35+U64+U76</f>
        <v>-125</v>
      </c>
      <c r="V79" s="28">
        <f>SUM(R79:U79)</f>
        <v>-458</v>
      </c>
      <c r="W79" s="19">
        <f>W35+W64+W76</f>
        <v>-471</v>
      </c>
      <c r="X79" s="19">
        <f>X35+X64+X76</f>
        <v>166</v>
      </c>
      <c r="Y79" s="19">
        <f>Y35+Y64+Y76</f>
        <v>-177</v>
      </c>
      <c r="Z79" s="19">
        <f>Z35+Z64+Z76-1</f>
        <v>446</v>
      </c>
      <c r="AA79" s="28">
        <f>SUM(W79:Z79)</f>
        <v>-36</v>
      </c>
      <c r="AB79" s="19">
        <f>AB35+AB64+AB76</f>
        <v>-568</v>
      </c>
      <c r="AC79" s="19">
        <f>AC35+AC64+AC76</f>
        <v>123</v>
      </c>
      <c r="AD79" s="19">
        <f>AD35+AD64+AD76</f>
        <v>104</v>
      </c>
      <c r="AE79" s="19">
        <f>AE35+AE64+AE76</f>
        <v>197</v>
      </c>
      <c r="AF79" s="28">
        <f>SUM(AB79:AE79)</f>
        <v>-144</v>
      </c>
      <c r="AG79" s="19">
        <f>AG35+AG64+AG76</f>
        <v>570</v>
      </c>
      <c r="AH79" s="19">
        <f>AH35+AH64+AH76</f>
        <v>-81</v>
      </c>
      <c r="AI79" s="19">
        <f>AI35+AI64+AI76</f>
        <v>-54</v>
      </c>
      <c r="AJ79" s="19">
        <f>AJ35+AJ64+AJ76</f>
        <v>377</v>
      </c>
      <c r="AK79" s="28">
        <f>SUM(AG79:AJ79)</f>
        <v>812</v>
      </c>
      <c r="AL79" s="19">
        <f>AL35+AL64+AL76</f>
        <v>-463</v>
      </c>
      <c r="AM79" s="19">
        <f>AM35+AM64+AM76</f>
        <v>-431</v>
      </c>
      <c r="AN79" s="19">
        <f>AN35+AN64+AN76</f>
        <v>-280</v>
      </c>
      <c r="AO79" s="19">
        <f>AO35+AO64+AO76</f>
        <v>189</v>
      </c>
      <c r="AP79" s="28">
        <f>SUM(AL79:AO79)</f>
        <v>-985</v>
      </c>
      <c r="AQ79" s="19">
        <f>AQ35+AQ64+AQ76</f>
        <v>-430</v>
      </c>
      <c r="AR79" s="19">
        <f>AR35+AR64+AR76</f>
        <v>122</v>
      </c>
      <c r="AS79" s="19">
        <f>AS35+AS64+AS76</f>
        <v>-369</v>
      </c>
      <c r="AT79" s="19">
        <f>AT35+AT64+AT76</f>
        <v>24</v>
      </c>
      <c r="AU79" s="28">
        <f>SUM(AQ79:AT79)</f>
        <v>-653</v>
      </c>
      <c r="AV79" s="19">
        <f>AV35+AV64+AV76</f>
        <v>898</v>
      </c>
      <c r="AW79" s="19">
        <f>AW35+AW64+AW76</f>
        <v>-468</v>
      </c>
      <c r="AX79" s="19">
        <f>AX35+AX64+AX76</f>
        <v>-254</v>
      </c>
      <c r="AY79" s="19">
        <f>AY35+AY64+AY76</f>
        <v>148</v>
      </c>
      <c r="AZ79" s="28">
        <f>SUM(AV79:AY79)</f>
        <v>324</v>
      </c>
      <c r="BA79" s="19">
        <f>BA35+BA64+BA76</f>
        <v>1596</v>
      </c>
      <c r="BB79" s="19">
        <f>BB35+BB64+BB76</f>
        <v>-762</v>
      </c>
      <c r="BC79" s="19">
        <f>BC35+BC64+BC76</f>
        <v>143</v>
      </c>
      <c r="BD79" s="19">
        <f>BD35+BD64+BD76</f>
        <v>138</v>
      </c>
      <c r="BE79" s="28">
        <f>SUM(BA79:BD79)</f>
        <v>1115</v>
      </c>
      <c r="BF79" s="19">
        <f>BF35+BF64+BF76</f>
        <v>324</v>
      </c>
      <c r="BG79" s="19">
        <f>BG35+BG64+BG76</f>
        <v>434</v>
      </c>
      <c r="BH79" s="19">
        <f>BH35+BH64+BH76</f>
        <v>-1322</v>
      </c>
      <c r="BI79" s="19">
        <f>BI35+BI64+BI76</f>
        <v>128</v>
      </c>
      <c r="BJ79" s="28">
        <f>SUM(BF79:BI79)</f>
        <v>-436</v>
      </c>
      <c r="BK79" s="19">
        <f>BK35+BK64+BK76</f>
        <v>-64</v>
      </c>
      <c r="BL79" s="19">
        <f>BO79-BK79</f>
        <v>278</v>
      </c>
      <c r="BM79" s="19"/>
      <c r="BN79" s="19"/>
      <c r="BO79" s="28">
        <v>214</v>
      </c>
    </row>
    <row r="80" spans="2:67">
      <c r="B80" s="88" t="s">
        <v>220</v>
      </c>
      <c r="C80" s="89">
        <v>4331</v>
      </c>
      <c r="D80" s="89">
        <v>4331</v>
      </c>
      <c r="E80" s="89">
        <v>4331</v>
      </c>
      <c r="F80" s="89">
        <v>4331</v>
      </c>
      <c r="G80" s="28">
        <f>D80</f>
        <v>4331</v>
      </c>
      <c r="H80" s="89">
        <v>4859</v>
      </c>
      <c r="I80" s="89">
        <v>4859</v>
      </c>
      <c r="J80" s="89">
        <v>4859</v>
      </c>
      <c r="K80" s="89">
        <v>4859</v>
      </c>
      <c r="L80" s="28">
        <v>4859</v>
      </c>
      <c r="M80" s="89">
        <v>4935</v>
      </c>
      <c r="N80" s="89">
        <v>4935</v>
      </c>
      <c r="O80" s="89">
        <v>4935</v>
      </c>
      <c r="P80" s="89">
        <v>4935</v>
      </c>
      <c r="Q80" s="28">
        <v>4935</v>
      </c>
      <c r="R80" s="89">
        <v>3489</v>
      </c>
      <c r="S80" s="89">
        <f>R82</f>
        <v>3579</v>
      </c>
      <c r="T80" s="89">
        <f>S82</f>
        <v>3575</v>
      </c>
      <c r="U80" s="89">
        <f>T82</f>
        <v>3226</v>
      </c>
      <c r="V80" s="28">
        <f>Q82</f>
        <v>3489</v>
      </c>
      <c r="W80" s="89">
        <f>U82</f>
        <v>3049</v>
      </c>
      <c r="X80" s="89">
        <f>W82</f>
        <v>2421</v>
      </c>
      <c r="Y80" s="89">
        <f>X82</f>
        <v>2471</v>
      </c>
      <c r="Z80" s="89">
        <f>Y82</f>
        <v>2357</v>
      </c>
      <c r="AA80" s="28">
        <f>V82</f>
        <v>3049</v>
      </c>
      <c r="AB80" s="89">
        <f>Z82</f>
        <v>2829</v>
      </c>
      <c r="AC80" s="89">
        <f>AB82</f>
        <v>2266</v>
      </c>
      <c r="AD80" s="89">
        <f>AC82</f>
        <v>2324</v>
      </c>
      <c r="AE80" s="89">
        <f>AD82</f>
        <v>2422</v>
      </c>
      <c r="AF80" s="28">
        <f>AA82</f>
        <v>2829</v>
      </c>
      <c r="AG80" s="89">
        <f>AE82</f>
        <v>2465</v>
      </c>
      <c r="AH80" s="89">
        <f>AG82</f>
        <v>3051</v>
      </c>
      <c r="AI80" s="89">
        <f>AH82</f>
        <v>3038</v>
      </c>
      <c r="AJ80" s="89">
        <f>AI82</f>
        <v>3022</v>
      </c>
      <c r="AK80" s="28">
        <f>AF82</f>
        <v>2465</v>
      </c>
      <c r="AL80" s="89">
        <f>AJ82</f>
        <v>3380</v>
      </c>
      <c r="AM80" s="89">
        <f>AL82</f>
        <v>2871</v>
      </c>
      <c r="AN80" s="89">
        <f>AM82</f>
        <v>2432</v>
      </c>
      <c r="AO80" s="89">
        <f>AN82</f>
        <v>2145</v>
      </c>
      <c r="AP80" s="28">
        <f>AK82</f>
        <v>3380</v>
      </c>
      <c r="AQ80" s="89">
        <f>AP82</f>
        <v>2305</v>
      </c>
      <c r="AR80" s="89">
        <f>AQ82</f>
        <v>1771</v>
      </c>
      <c r="AS80" s="89">
        <f>AR82</f>
        <v>1828</v>
      </c>
      <c r="AT80" s="89">
        <f>AS82</f>
        <v>1401</v>
      </c>
      <c r="AU80" s="28">
        <f>AP82</f>
        <v>2305</v>
      </c>
      <c r="AV80" s="89">
        <f>AU82</f>
        <v>1481</v>
      </c>
      <c r="AW80" s="89">
        <f>AV82</f>
        <v>2386</v>
      </c>
      <c r="AX80" s="89">
        <f>AW82</f>
        <v>1892</v>
      </c>
      <c r="AY80" s="89">
        <f>AX82</f>
        <v>1640</v>
      </c>
      <c r="AZ80" s="28">
        <f>AU82</f>
        <v>1481</v>
      </c>
      <c r="BA80" s="89">
        <f>AZ82</f>
        <v>1773</v>
      </c>
      <c r="BB80" s="89">
        <f>BA82</f>
        <v>3365</v>
      </c>
      <c r="BC80" s="89">
        <f>BB82</f>
        <v>2601</v>
      </c>
      <c r="BD80" s="89">
        <f>BC82</f>
        <v>2663</v>
      </c>
      <c r="BE80" s="28">
        <f>AZ82</f>
        <v>1773</v>
      </c>
      <c r="BF80" s="89">
        <v>2861</v>
      </c>
      <c r="BG80" s="89">
        <f>BF82</f>
        <v>3202</v>
      </c>
      <c r="BH80" s="89">
        <f>BG82</f>
        <v>3585</v>
      </c>
      <c r="BI80" s="89">
        <f>BH82</f>
        <v>2216</v>
      </c>
      <c r="BJ80" s="28">
        <f>BE82</f>
        <v>2861</v>
      </c>
      <c r="BK80" s="89">
        <v>2341</v>
      </c>
      <c r="BL80" s="19">
        <f>BK82</f>
        <v>2287</v>
      </c>
      <c r="BM80" s="89"/>
      <c r="BN80" s="89"/>
      <c r="BO80" s="28">
        <v>2341</v>
      </c>
    </row>
    <row r="81" spans="2:67" ht="25.5">
      <c r="B81" s="96" t="s">
        <v>260</v>
      </c>
      <c r="C81" s="150"/>
      <c r="D81" s="150"/>
      <c r="E81" s="150"/>
      <c r="F81" s="153"/>
      <c r="G81" s="105">
        <v>0</v>
      </c>
      <c r="H81" s="150"/>
      <c r="I81" s="150"/>
      <c r="J81" s="150"/>
      <c r="K81" s="153"/>
      <c r="L81" s="105">
        <v>0</v>
      </c>
      <c r="M81" s="150"/>
      <c r="N81" s="150"/>
      <c r="O81" s="150"/>
      <c r="P81" s="150"/>
      <c r="Q81" s="105">
        <v>0</v>
      </c>
      <c r="R81" s="150"/>
      <c r="S81" s="150"/>
      <c r="T81" s="150"/>
      <c r="U81" s="150"/>
      <c r="V81" s="105">
        <v>0</v>
      </c>
      <c r="W81" s="150">
        <v>0</v>
      </c>
      <c r="X81" s="150">
        <v>0</v>
      </c>
      <c r="Y81" s="150">
        <v>0</v>
      </c>
      <c r="Z81" s="150">
        <v>0</v>
      </c>
      <c r="AA81" s="105">
        <v>0</v>
      </c>
      <c r="AB81" s="150">
        <v>0</v>
      </c>
      <c r="AC81" s="150">
        <v>0</v>
      </c>
      <c r="AD81" s="150">
        <v>0</v>
      </c>
      <c r="AE81" s="150">
        <v>0</v>
      </c>
      <c r="AF81" s="105">
        <v>0</v>
      </c>
      <c r="AG81" s="150">
        <v>0</v>
      </c>
      <c r="AH81" s="150">
        <v>0</v>
      </c>
      <c r="AI81" s="150">
        <v>0</v>
      </c>
      <c r="AJ81" s="150">
        <v>0</v>
      </c>
      <c r="AK81" s="105">
        <v>0</v>
      </c>
      <c r="AL81" s="150">
        <v>0</v>
      </c>
      <c r="AM81" s="150">
        <v>0</v>
      </c>
      <c r="AN81" s="150">
        <v>0</v>
      </c>
      <c r="AO81" s="150">
        <v>0</v>
      </c>
      <c r="AP81" s="105">
        <v>0</v>
      </c>
      <c r="AQ81" s="150">
        <v>0</v>
      </c>
      <c r="AR81" s="150">
        <v>0</v>
      </c>
      <c r="AS81" s="150">
        <v>0</v>
      </c>
      <c r="AT81" s="150">
        <v>0</v>
      </c>
      <c r="AU81" s="105">
        <v>0</v>
      </c>
      <c r="AV81" s="150">
        <v>0</v>
      </c>
      <c r="AW81" s="150">
        <v>0</v>
      </c>
      <c r="AX81" s="150">
        <v>0</v>
      </c>
      <c r="AY81" s="150">
        <v>0</v>
      </c>
      <c r="AZ81" s="105">
        <v>0</v>
      </c>
      <c r="BA81" s="150">
        <v>0</v>
      </c>
      <c r="BB81" s="150">
        <v>0</v>
      </c>
      <c r="BC81" s="150">
        <v>0</v>
      </c>
      <c r="BD81" s="150">
        <v>0</v>
      </c>
      <c r="BE81" s="105">
        <v>0</v>
      </c>
      <c r="BF81" s="150">
        <v>0</v>
      </c>
      <c r="BG81" s="150">
        <v>0</v>
      </c>
      <c r="BH81" s="150">
        <v>0</v>
      </c>
      <c r="BI81" s="150">
        <v>0</v>
      </c>
      <c r="BJ81" s="105">
        <v>0</v>
      </c>
      <c r="BK81" s="209">
        <v>0</v>
      </c>
      <c r="BL81" s="209">
        <f>BO81-BK81</f>
        <v>0</v>
      </c>
      <c r="BM81" s="150"/>
      <c r="BN81" s="150"/>
      <c r="BO81" s="105">
        <v>0</v>
      </c>
    </row>
    <row r="82" spans="2:67" s="39" customFormat="1">
      <c r="B82" s="92" t="s">
        <v>221</v>
      </c>
      <c r="C82" s="93">
        <v>4164</v>
      </c>
      <c r="D82" s="93">
        <v>4604</v>
      </c>
      <c r="E82" s="93">
        <v>5080</v>
      </c>
      <c r="F82" s="93">
        <v>4859</v>
      </c>
      <c r="G82" s="24">
        <f>SUM(G78:G81)</f>
        <v>4859</v>
      </c>
      <c r="H82" s="93">
        <v>4421</v>
      </c>
      <c r="I82" s="93">
        <v>4566</v>
      </c>
      <c r="J82" s="93">
        <v>4455</v>
      </c>
      <c r="K82" s="93">
        <v>4935</v>
      </c>
      <c r="L82" s="24">
        <f>SUM(L78:L81)</f>
        <v>4935</v>
      </c>
      <c r="M82" s="93">
        <v>4598</v>
      </c>
      <c r="N82" s="93">
        <v>4763</v>
      </c>
      <c r="O82" s="93">
        <v>3844</v>
      </c>
      <c r="P82" s="93">
        <v>3489</v>
      </c>
      <c r="Q82" s="24">
        <f>SUM(Q78:Q81)</f>
        <v>3489</v>
      </c>
      <c r="R82" s="299">
        <f>SUM(R78:R80)</f>
        <v>3579</v>
      </c>
      <c r="S82" s="293">
        <f>SUM(S78:S80)</f>
        <v>3575</v>
      </c>
      <c r="T82" s="293">
        <f>SUM(T78:T80)</f>
        <v>3226</v>
      </c>
      <c r="U82" s="293">
        <f>SUM(U78:U80)</f>
        <v>3049</v>
      </c>
      <c r="V82" s="24">
        <f>SUM(V78:V81)</f>
        <v>3049</v>
      </c>
      <c r="W82" s="299">
        <f>SUM(W78:W80)</f>
        <v>2421</v>
      </c>
      <c r="X82" s="293">
        <f>SUM(X78:X80)</f>
        <v>2471</v>
      </c>
      <c r="Y82" s="293">
        <f>SUM(Y78:Y80)</f>
        <v>2357</v>
      </c>
      <c r="Z82" s="293">
        <f>SUM(Z78:Z80)</f>
        <v>2829</v>
      </c>
      <c r="AA82" s="24">
        <f>SUM(AA78:AA81)</f>
        <v>2829</v>
      </c>
      <c r="AB82" s="299">
        <f>SUM(AB78:AB80)</f>
        <v>2266</v>
      </c>
      <c r="AC82" s="293">
        <f>SUM(AC78:AC80)</f>
        <v>2324</v>
      </c>
      <c r="AD82" s="293">
        <f>SUM(AD78:AD80)</f>
        <v>2422</v>
      </c>
      <c r="AE82" s="293">
        <f>SUM(AE78:AE80)</f>
        <v>2465</v>
      </c>
      <c r="AF82" s="24">
        <f>SUM(AF78:AF81)</f>
        <v>2465</v>
      </c>
      <c r="AG82" s="293">
        <f>SUM(AG78:AG80)</f>
        <v>3051</v>
      </c>
      <c r="AH82" s="293">
        <f>SUM(AH78:AH80)</f>
        <v>3038</v>
      </c>
      <c r="AI82" s="293">
        <f>SUM(AI78:AI80)</f>
        <v>3022</v>
      </c>
      <c r="AJ82" s="293">
        <f>SUM(AJ78:AJ80)</f>
        <v>3380</v>
      </c>
      <c r="AK82" s="24">
        <f>SUM(AK78:AK81)</f>
        <v>3380</v>
      </c>
      <c r="AL82" s="293">
        <f>SUM(AL78:AL80)</f>
        <v>2871</v>
      </c>
      <c r="AM82" s="293">
        <f>SUM(AM78:AM80)</f>
        <v>2432</v>
      </c>
      <c r="AN82" s="293">
        <f>SUM(AN78:AN80)</f>
        <v>2145</v>
      </c>
      <c r="AO82" s="293">
        <f>SUM(AO78:AO80)</f>
        <v>2305</v>
      </c>
      <c r="AP82" s="24">
        <f>SUM(AP78:AP81)</f>
        <v>2305</v>
      </c>
      <c r="AQ82" s="293">
        <f>SUM(AQ78:AQ80)</f>
        <v>1771</v>
      </c>
      <c r="AR82" s="293">
        <f>SUM(AR78:AR80)</f>
        <v>1828</v>
      </c>
      <c r="AS82" s="293">
        <f>SUM(AS78:AS80)</f>
        <v>1401</v>
      </c>
      <c r="AT82" s="293">
        <f>SUM(AT78:AT80)</f>
        <v>1481</v>
      </c>
      <c r="AU82" s="24">
        <f>SUM(AU78:AU81)</f>
        <v>1481</v>
      </c>
      <c r="AV82" s="293">
        <f>SUM(AV78:AV80)</f>
        <v>2386</v>
      </c>
      <c r="AW82" s="293">
        <f>SUM(AW78:AW80)</f>
        <v>1892</v>
      </c>
      <c r="AX82" s="293">
        <f>SUM(AX78:AX80)</f>
        <v>1640</v>
      </c>
      <c r="AY82" s="293">
        <f>SUM(AY78:AY80)</f>
        <v>1773</v>
      </c>
      <c r="AZ82" s="24">
        <f>SUM(AZ78:AZ81)</f>
        <v>1773</v>
      </c>
      <c r="BA82" s="293">
        <f>SUM(BA78:BA80)</f>
        <v>3365</v>
      </c>
      <c r="BB82" s="293">
        <f>SUM(BB78:BB80)</f>
        <v>2601</v>
      </c>
      <c r="BC82" s="293">
        <f>SUM(BC78:BC80)</f>
        <v>2663</v>
      </c>
      <c r="BD82" s="293">
        <f>SUM(BD78:BD80)</f>
        <v>2861</v>
      </c>
      <c r="BE82" s="24">
        <f>SUM(BE78:BE81)</f>
        <v>2861</v>
      </c>
      <c r="BF82" s="293">
        <f>SUM(BF78:BF80)</f>
        <v>3202</v>
      </c>
      <c r="BG82" s="293">
        <f>SUM(BG78:BG80)</f>
        <v>3585</v>
      </c>
      <c r="BH82" s="293">
        <f>SUM(BH78:BH80)</f>
        <v>2216</v>
      </c>
      <c r="BI82" s="293">
        <f>SUM(BI78:BI80)</f>
        <v>2341</v>
      </c>
      <c r="BJ82" s="24">
        <f>SUM(BJ78:BJ81)</f>
        <v>2341</v>
      </c>
      <c r="BK82" s="293">
        <f>SUM(BK78:BK80)</f>
        <v>2287</v>
      </c>
      <c r="BL82" s="293">
        <f>SUM(BL78:BL80)</f>
        <v>2541</v>
      </c>
      <c r="BM82" s="293"/>
      <c r="BN82" s="293"/>
      <c r="BO82" s="24">
        <f>SUM(BO78:BO80)</f>
        <v>2541</v>
      </c>
    </row>
    <row r="83" spans="2:67">
      <c r="B83" s="88"/>
      <c r="C83" s="89"/>
      <c r="D83" s="89"/>
      <c r="E83" s="89"/>
      <c r="F83" s="90"/>
      <c r="G83" s="28"/>
      <c r="H83" s="89"/>
      <c r="I83" s="89"/>
      <c r="J83" s="89"/>
      <c r="K83" s="90"/>
      <c r="L83" s="28"/>
      <c r="M83" s="89"/>
      <c r="N83" s="89"/>
      <c r="O83" s="89"/>
      <c r="P83" s="89"/>
      <c r="Q83" s="28"/>
      <c r="R83" s="89"/>
      <c r="S83" s="89"/>
      <c r="T83" s="89"/>
      <c r="U83" s="89"/>
      <c r="V83" s="28"/>
      <c r="W83" s="89"/>
      <c r="X83" s="89"/>
      <c r="Y83" s="89"/>
      <c r="Z83" s="89"/>
      <c r="AA83" s="28"/>
      <c r="AB83" s="89"/>
      <c r="AC83" s="89"/>
      <c r="AD83" s="89"/>
      <c r="AE83" s="89"/>
      <c r="AF83" s="28"/>
      <c r="AG83" s="89"/>
      <c r="AH83" s="89"/>
      <c r="AI83" s="89"/>
      <c r="AJ83" s="89"/>
      <c r="AK83" s="28"/>
      <c r="AL83" s="89"/>
      <c r="AM83" s="89"/>
      <c r="AN83" s="89"/>
      <c r="AO83" s="89"/>
      <c r="AP83" s="28"/>
      <c r="AQ83" s="89"/>
      <c r="AR83" s="89"/>
      <c r="AS83" s="89"/>
      <c r="AT83" s="89"/>
      <c r="AU83" s="28"/>
      <c r="AV83" s="89"/>
      <c r="AW83" s="89"/>
      <c r="AX83" s="89"/>
      <c r="AY83" s="89"/>
      <c r="AZ83" s="28"/>
      <c r="BA83" s="89"/>
      <c r="BB83" s="89"/>
      <c r="BC83" s="89"/>
      <c r="BD83" s="89"/>
      <c r="BE83" s="28"/>
      <c r="BF83" s="89"/>
      <c r="BG83" s="89"/>
      <c r="BH83" s="89"/>
      <c r="BI83" s="89"/>
      <c r="BJ83" s="28"/>
      <c r="BK83" s="89"/>
      <c r="BL83" s="89"/>
      <c r="BM83" s="89"/>
      <c r="BN83" s="89"/>
      <c r="BO83" s="28"/>
    </row>
    <row r="84" spans="2:67">
      <c r="B84" s="92" t="s">
        <v>222</v>
      </c>
      <c r="C84" s="89"/>
      <c r="D84" s="89"/>
      <c r="E84" s="89"/>
      <c r="F84" s="90"/>
      <c r="G84" s="28"/>
      <c r="H84" s="89"/>
      <c r="I84" s="89"/>
      <c r="J84" s="89"/>
      <c r="K84" s="90"/>
      <c r="L84" s="28"/>
      <c r="M84" s="89"/>
      <c r="N84" s="89"/>
      <c r="O84" s="89"/>
      <c r="P84" s="89"/>
      <c r="Q84" s="28"/>
      <c r="R84" s="89"/>
      <c r="S84" s="89"/>
      <c r="T84" s="89"/>
      <c r="U84" s="89"/>
      <c r="V84" s="28"/>
      <c r="W84" s="89"/>
      <c r="X84" s="89"/>
      <c r="Y84" s="89"/>
      <c r="Z84" s="89"/>
      <c r="AA84" s="28"/>
      <c r="AB84" s="89"/>
      <c r="AC84" s="89"/>
      <c r="AD84" s="89"/>
      <c r="AE84" s="89"/>
      <c r="AF84" s="28"/>
      <c r="AG84" s="89"/>
      <c r="AH84" s="89"/>
      <c r="AI84" s="89"/>
      <c r="AJ84" s="89"/>
      <c r="AK84" s="28"/>
      <c r="AL84" s="89"/>
      <c r="AM84" s="89"/>
      <c r="AN84" s="89"/>
      <c r="AO84" s="89"/>
      <c r="AP84" s="28"/>
      <c r="AQ84" s="89"/>
      <c r="AR84" s="89"/>
      <c r="AS84" s="89"/>
      <c r="AT84" s="89"/>
      <c r="AU84" s="28"/>
      <c r="AV84" s="89"/>
      <c r="AW84" s="89"/>
      <c r="AX84" s="89"/>
      <c r="AY84" s="89"/>
      <c r="AZ84" s="28"/>
      <c r="BA84" s="89"/>
      <c r="BB84" s="89"/>
      <c r="BC84" s="89"/>
      <c r="BD84" s="89"/>
      <c r="BE84" s="28"/>
      <c r="BF84" s="89"/>
      <c r="BG84" s="89"/>
      <c r="BH84" s="89"/>
      <c r="BI84" s="89"/>
      <c r="BJ84" s="28"/>
      <c r="BK84" s="89"/>
      <c r="BL84" s="89"/>
      <c r="BM84" s="89"/>
      <c r="BN84" s="89"/>
      <c r="BO84" s="28"/>
    </row>
    <row r="85" spans="2:67">
      <c r="B85" s="97" t="s">
        <v>223</v>
      </c>
      <c r="C85" s="98">
        <v>54</v>
      </c>
      <c r="D85" s="98">
        <f>57</f>
        <v>57</v>
      </c>
      <c r="E85" s="98">
        <v>57</v>
      </c>
      <c r="F85" s="99">
        <v>58</v>
      </c>
      <c r="G85" s="225">
        <v>58</v>
      </c>
      <c r="H85" s="98">
        <v>59</v>
      </c>
      <c r="I85" s="98">
        <v>59</v>
      </c>
      <c r="J85" s="98">
        <v>66</v>
      </c>
      <c r="K85" s="99">
        <v>74</v>
      </c>
      <c r="L85" s="225">
        <v>74</v>
      </c>
      <c r="M85" s="98">
        <v>76</v>
      </c>
      <c r="N85" s="98">
        <v>78</v>
      </c>
      <c r="O85" s="98">
        <v>76</v>
      </c>
      <c r="P85" s="98">
        <v>88</v>
      </c>
      <c r="Q85" s="225">
        <v>88</v>
      </c>
      <c r="R85" s="98">
        <v>93</v>
      </c>
      <c r="S85" s="98">
        <v>85</v>
      </c>
      <c r="T85" s="98">
        <v>87</v>
      </c>
      <c r="U85" s="98">
        <v>82</v>
      </c>
      <c r="V85" s="225">
        <v>82</v>
      </c>
      <c r="W85" s="80">
        <v>63</v>
      </c>
      <c r="X85" s="98">
        <v>45</v>
      </c>
      <c r="Y85" s="98">
        <v>50</v>
      </c>
      <c r="Z85" s="98">
        <v>52</v>
      </c>
      <c r="AA85" s="225">
        <v>52</v>
      </c>
      <c r="AB85" s="80">
        <v>55</v>
      </c>
      <c r="AC85" s="80">
        <v>53</v>
      </c>
      <c r="AD85" s="80">
        <v>51</v>
      </c>
      <c r="AE85" s="98">
        <v>52</v>
      </c>
      <c r="AF85" s="225">
        <v>52</v>
      </c>
      <c r="AG85" s="80">
        <v>51</v>
      </c>
      <c r="AH85" s="80">
        <v>55</v>
      </c>
      <c r="AI85" s="80">
        <v>60</v>
      </c>
      <c r="AJ85" s="98">
        <v>69</v>
      </c>
      <c r="AK85" s="225">
        <v>69</v>
      </c>
      <c r="AL85" s="80">
        <v>71</v>
      </c>
      <c r="AM85" s="80">
        <v>71</v>
      </c>
      <c r="AN85" s="80">
        <v>66</v>
      </c>
      <c r="AO85" s="98">
        <v>62</v>
      </c>
      <c r="AP85" s="225">
        <v>62</v>
      </c>
      <c r="AQ85" s="80">
        <v>53</v>
      </c>
      <c r="AR85" s="80">
        <v>57</v>
      </c>
      <c r="AS85" s="80">
        <v>46</v>
      </c>
      <c r="AT85" s="98">
        <v>44</v>
      </c>
      <c r="AU85" s="225">
        <v>44</v>
      </c>
      <c r="AV85" s="80">
        <v>47</v>
      </c>
      <c r="AW85" s="80">
        <v>44</v>
      </c>
      <c r="AX85" s="80">
        <v>45</v>
      </c>
      <c r="AY85" s="98">
        <v>42</v>
      </c>
      <c r="AZ85" s="225">
        <f>AY85</f>
        <v>42</v>
      </c>
      <c r="BA85" s="80">
        <v>48</v>
      </c>
      <c r="BB85" s="80">
        <v>49</v>
      </c>
      <c r="BC85" s="80">
        <v>50</v>
      </c>
      <c r="BD85" s="98">
        <v>50</v>
      </c>
      <c r="BE85" s="225">
        <v>50</v>
      </c>
      <c r="BF85" s="80">
        <v>48</v>
      </c>
      <c r="BG85" s="80">
        <v>46</v>
      </c>
      <c r="BH85" s="80">
        <v>46</v>
      </c>
      <c r="BI85" s="98">
        <v>44</v>
      </c>
      <c r="BJ85" s="225">
        <v>44</v>
      </c>
      <c r="BK85" s="80">
        <v>47</v>
      </c>
      <c r="BL85" s="80">
        <f>BO85</f>
        <v>46</v>
      </c>
      <c r="BM85" s="80"/>
      <c r="BN85" s="98"/>
      <c r="BO85" s="225">
        <v>46</v>
      </c>
    </row>
    <row r="86" spans="2:67">
      <c r="C86" s="100"/>
      <c r="D86" s="100"/>
      <c r="E86" s="100"/>
      <c r="F86" s="100"/>
      <c r="H86" s="100"/>
      <c r="I86" s="100"/>
      <c r="J86" s="100"/>
      <c r="K86" s="100"/>
      <c r="M86" s="100"/>
      <c r="N86" s="100"/>
      <c r="O86" s="100"/>
      <c r="P86" s="100"/>
      <c r="R86" s="100"/>
      <c r="S86" s="100"/>
      <c r="T86" s="100"/>
      <c r="U86" s="100"/>
      <c r="W86" s="100"/>
      <c r="X86" s="100"/>
      <c r="Y86" s="100"/>
      <c r="Z86" s="100"/>
    </row>
    <row r="87" spans="2:67">
      <c r="B87" s="149" t="s">
        <v>101</v>
      </c>
    </row>
    <row r="88" spans="2:67">
      <c r="B88" s="39" t="s">
        <v>102</v>
      </c>
    </row>
  </sheetData>
  <hyperlinks>
    <hyperlink ref="B1" location="Index!A1" display="Index" xr:uid="{D3386112-78E5-45E4-B9E8-A49563A7FE88}"/>
  </hyperlinks>
  <pageMargins left="0.33" right="0.11" top="0.52" bottom="0.5" header="0.5" footer="0.5"/>
  <pageSetup paperSize="9" scale="66" orientation="portrait" r:id="rId1"/>
  <headerFooter alignWithMargins="0"/>
  <customProperties>
    <customPr name="_pios_id" r:id="rId2"/>
    <customPr name="EpmWorksheetKeyString_GUID" r:id="rId3"/>
  </customProperties>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56E1-C7B1-4294-8E32-41A8F763A912}">
  <sheetPr codeName="Sheet8">
    <pageSetUpPr fitToPage="1"/>
  </sheetPr>
  <dimension ref="A1:BP263"/>
  <sheetViews>
    <sheetView showGridLines="0" zoomScale="95" zoomScaleNormal="95" workbookViewId="0">
      <pane xSplit="3" ySplit="5" topLeftCell="BA6" activePane="bottomRight" state="frozen"/>
      <selection pane="topRight" activeCell="AT16" sqref="AT16"/>
      <selection pane="bottomLeft" activeCell="AT16" sqref="AT16"/>
      <selection pane="bottomRight" activeCell="C1" sqref="C1"/>
    </sheetView>
  </sheetViews>
  <sheetFormatPr defaultColWidth="9.1796875" defaultRowHeight="12" outlineLevelCol="2"/>
  <cols>
    <col min="1" max="1" width="1.81640625" style="16" customWidth="1"/>
    <col min="2" max="2" width="3.81640625" style="216" customWidth="1"/>
    <col min="3" max="3" width="45.54296875" style="16" customWidth="1"/>
    <col min="4" max="7" width="9.81640625" style="16" hidden="1" customWidth="1" outlineLevel="1"/>
    <col min="8" max="8" width="9.81640625" style="16" hidden="1" customWidth="1" outlineLevel="1" collapsed="1"/>
    <col min="9" max="12" width="9.81640625" style="16" hidden="1" customWidth="1" outlineLevel="2"/>
    <col min="13" max="13" width="9.81640625" style="16" hidden="1" customWidth="1" outlineLevel="1" collapsed="1"/>
    <col min="14" max="17" width="9.81640625" style="16" hidden="1" customWidth="1" outlineLevel="2"/>
    <col min="18" max="18" width="9.81640625" style="16" hidden="1" customWidth="1" outlineLevel="1" collapsed="1"/>
    <col min="19" max="22" width="9.81640625" style="16" hidden="1" customWidth="1" outlineLevel="2"/>
    <col min="23" max="23" width="9.81640625" style="16" hidden="1" customWidth="1" outlineLevel="1" collapsed="1"/>
    <col min="24" max="27" width="9.81640625" style="16" hidden="1" customWidth="1" outlineLevel="2"/>
    <col min="28" max="28" width="9.81640625" style="16" hidden="1" customWidth="1" outlineLevel="1" collapsed="1"/>
    <col min="29" max="29" width="9.81640625" style="16" hidden="1" customWidth="1" outlineLevel="2"/>
    <col min="30" max="32" width="9.1796875" style="16" hidden="1" customWidth="1" outlineLevel="2"/>
    <col min="33" max="34" width="9.81640625" style="16" hidden="1" customWidth="1" outlineLevel="1" collapsed="1"/>
    <col min="35" max="37" width="9.1796875" style="16" hidden="1" customWidth="1" outlineLevel="1"/>
    <col min="38" max="38" width="9.81640625" style="16" customWidth="1" collapsed="1"/>
    <col min="39" max="39" width="9.81640625" style="16" hidden="1" customWidth="1" outlineLevel="1"/>
    <col min="40" max="42" width="9.1796875" style="16" hidden="1" customWidth="1" outlineLevel="1"/>
    <col min="43" max="43" width="9.81640625" style="16" customWidth="1" collapsed="1"/>
    <col min="44" max="44" width="9.81640625" style="16" hidden="1" customWidth="1" outlineLevel="1"/>
    <col min="45" max="47" width="9.1796875" style="16" hidden="1" customWidth="1" outlineLevel="1"/>
    <col min="48" max="48" width="9.81640625" style="16" customWidth="1" collapsed="1"/>
    <col min="49" max="49" width="9.81640625" style="16" hidden="1" customWidth="1" outlineLevel="1"/>
    <col min="50" max="52" width="9.1796875" style="16" hidden="1" customWidth="1" outlineLevel="1"/>
    <col min="53" max="53" width="9.81640625" style="16" customWidth="1" collapsed="1"/>
    <col min="54" max="54" width="9.81640625" style="16" hidden="1" customWidth="1" outlineLevel="1"/>
    <col min="55" max="57" width="9.1796875" style="16" hidden="1" customWidth="1" outlineLevel="1"/>
    <col min="58" max="58" width="9.81640625" style="16" customWidth="1" collapsed="1"/>
    <col min="59" max="59" width="9.81640625" style="16" hidden="1" customWidth="1" outlineLevel="1"/>
    <col min="60" max="62" width="9.1796875" style="16" hidden="1" customWidth="1" outlineLevel="1"/>
    <col min="63" max="63" width="9.81640625" style="16" customWidth="1" collapsed="1"/>
    <col min="64" max="64" width="9.81640625" style="16" customWidth="1" outlineLevel="1"/>
    <col min="65" max="65" width="10.36328125" style="16" bestFit="1" customWidth="1" outlineLevel="1"/>
    <col min="66" max="67" width="9.1796875" style="16" outlineLevel="1"/>
    <col min="68" max="68" width="9.81640625" style="16" customWidth="1"/>
    <col min="69" max="16384" width="9.1796875" style="16"/>
  </cols>
  <sheetData>
    <row r="1" spans="2:68" ht="16">
      <c r="B1" s="394"/>
      <c r="C1" s="398" t="s">
        <v>8</v>
      </c>
      <c r="AI1" s="101"/>
    </row>
    <row r="2" spans="2:68" ht="16">
      <c r="B2" s="394"/>
      <c r="C2" s="398"/>
    </row>
    <row r="3" spans="2:68" ht="15.5">
      <c r="C3" s="395" t="s">
        <v>9</v>
      </c>
      <c r="AS3" s="384"/>
      <c r="AX3" s="384"/>
      <c r="BC3" s="384"/>
      <c r="BH3" s="384"/>
      <c r="BM3" s="384"/>
    </row>
    <row r="4" spans="2:68" ht="15.5">
      <c r="C4" s="395" t="s">
        <v>261</v>
      </c>
      <c r="D4" s="17"/>
      <c r="E4" s="17"/>
      <c r="F4" s="17"/>
      <c r="G4" s="17"/>
      <c r="H4" s="17"/>
      <c r="I4" s="17"/>
      <c r="J4" s="17"/>
      <c r="K4" s="17"/>
      <c r="L4" s="17"/>
      <c r="M4" s="17"/>
      <c r="N4" s="17"/>
      <c r="O4" s="17"/>
      <c r="P4" s="17"/>
      <c r="Q4" s="17"/>
      <c r="R4" s="17"/>
      <c r="S4" s="17"/>
      <c r="T4" s="17"/>
      <c r="U4" s="17"/>
      <c r="V4" s="17"/>
      <c r="W4" s="17"/>
      <c r="X4" s="17"/>
      <c r="Y4" s="17"/>
      <c r="Z4" s="17"/>
      <c r="AA4" s="17"/>
      <c r="AB4" s="17"/>
      <c r="AC4" s="17"/>
      <c r="AG4" s="17"/>
      <c r="AH4" s="17"/>
      <c r="AL4" s="17"/>
      <c r="AM4" s="17"/>
      <c r="AQ4" s="17"/>
      <c r="AR4" s="17"/>
      <c r="AV4" s="17"/>
      <c r="AW4" s="17"/>
      <c r="BA4" s="17"/>
      <c r="BB4" s="17"/>
      <c r="BF4" s="17"/>
      <c r="BK4" s="17"/>
      <c r="BP4" s="17"/>
    </row>
    <row r="5" spans="2:68" s="191" customFormat="1">
      <c r="B5" s="217"/>
      <c r="C5" s="193" t="s">
        <v>262</v>
      </c>
      <c r="D5" s="189" t="s">
        <v>12</v>
      </c>
      <c r="E5" s="189" t="s">
        <v>13</v>
      </c>
      <c r="F5" s="189" t="s">
        <v>14</v>
      </c>
      <c r="G5" s="189" t="s">
        <v>15</v>
      </c>
      <c r="H5" s="190" t="s">
        <v>16</v>
      </c>
      <c r="I5" s="189" t="s">
        <v>17</v>
      </c>
      <c r="J5" s="189" t="s">
        <v>18</v>
      </c>
      <c r="K5" s="189" t="s">
        <v>19</v>
      </c>
      <c r="L5" s="189" t="s">
        <v>20</v>
      </c>
      <c r="M5" s="190" t="s">
        <v>21</v>
      </c>
      <c r="N5" s="189" t="s">
        <v>22</v>
      </c>
      <c r="O5" s="189" t="s">
        <v>23</v>
      </c>
      <c r="P5" s="189" t="s">
        <v>24</v>
      </c>
      <c r="Q5" s="189" t="s">
        <v>25</v>
      </c>
      <c r="R5" s="190" t="s">
        <v>165</v>
      </c>
      <c r="S5" s="189" t="s">
        <v>27</v>
      </c>
      <c r="T5" s="189" t="s">
        <v>28</v>
      </c>
      <c r="U5" s="189" t="s">
        <v>29</v>
      </c>
      <c r="V5" s="189" t="s">
        <v>30</v>
      </c>
      <c r="W5" s="190" t="s">
        <v>166</v>
      </c>
      <c r="X5" s="189" t="s">
        <v>32</v>
      </c>
      <c r="Y5" s="189" t="s">
        <v>33</v>
      </c>
      <c r="Z5" s="189" t="s">
        <v>34</v>
      </c>
      <c r="AA5" s="189" t="s">
        <v>35</v>
      </c>
      <c r="AB5" s="190" t="s">
        <v>36</v>
      </c>
      <c r="AC5" s="187" t="s">
        <v>37</v>
      </c>
      <c r="AD5" s="187" t="s">
        <v>38</v>
      </c>
      <c r="AE5" s="187" t="s">
        <v>39</v>
      </c>
      <c r="AF5" s="187" t="s">
        <v>40</v>
      </c>
      <c r="AG5" s="190" t="s">
        <v>167</v>
      </c>
      <c r="AH5" s="187" t="s">
        <v>42</v>
      </c>
      <c r="AI5" s="187" t="s">
        <v>43</v>
      </c>
      <c r="AJ5" s="187" t="s">
        <v>44</v>
      </c>
      <c r="AK5" s="187" t="s">
        <v>45</v>
      </c>
      <c r="AL5" s="190" t="s">
        <v>46</v>
      </c>
      <c r="AM5" s="187" t="s">
        <v>47</v>
      </c>
      <c r="AN5" s="187" t="s">
        <v>48</v>
      </c>
      <c r="AO5" s="187" t="s">
        <v>49</v>
      </c>
      <c r="AP5" s="187" t="s">
        <v>50</v>
      </c>
      <c r="AQ5" s="190" t="s">
        <v>225</v>
      </c>
      <c r="AR5" s="187" t="s">
        <v>52</v>
      </c>
      <c r="AS5" s="187" t="s">
        <v>53</v>
      </c>
      <c r="AT5" s="187" t="s">
        <v>54</v>
      </c>
      <c r="AU5" s="187" t="s">
        <v>55</v>
      </c>
      <c r="AV5" s="190" t="s">
        <v>56</v>
      </c>
      <c r="AW5" s="187" t="s">
        <v>57</v>
      </c>
      <c r="AX5" s="187" t="s">
        <v>58</v>
      </c>
      <c r="AY5" s="187" t="s">
        <v>59</v>
      </c>
      <c r="AZ5" s="187" t="s">
        <v>60</v>
      </c>
      <c r="BA5" s="190" t="s">
        <v>61</v>
      </c>
      <c r="BB5" s="187" t="s">
        <v>62</v>
      </c>
      <c r="BC5" s="187" t="s">
        <v>63</v>
      </c>
      <c r="BD5" s="187" t="s">
        <v>64</v>
      </c>
      <c r="BE5" s="187" t="s">
        <v>65</v>
      </c>
      <c r="BF5" s="190" t="s">
        <v>66</v>
      </c>
      <c r="BG5" s="187" t="s">
        <v>67</v>
      </c>
      <c r="BH5" s="187" t="s">
        <v>68</v>
      </c>
      <c r="BI5" s="187" t="s">
        <v>69</v>
      </c>
      <c r="BJ5" s="187" t="s">
        <v>70</v>
      </c>
      <c r="BK5" s="190" t="s">
        <v>106</v>
      </c>
      <c r="BL5" s="187" t="s">
        <v>480</v>
      </c>
      <c r="BM5" s="187" t="s">
        <v>481</v>
      </c>
      <c r="BN5" s="187" t="s">
        <v>482</v>
      </c>
      <c r="BO5" s="187" t="s">
        <v>483</v>
      </c>
      <c r="BP5" s="190" t="s">
        <v>486</v>
      </c>
    </row>
    <row r="6" spans="2:68">
      <c r="B6" s="218">
        <v>1</v>
      </c>
      <c r="C6" s="18" t="s">
        <v>263</v>
      </c>
      <c r="G6" s="21"/>
      <c r="H6" s="20"/>
      <c r="L6" s="21"/>
      <c r="M6" s="20"/>
      <c r="Q6" s="21"/>
      <c r="R6" s="20"/>
      <c r="W6" s="20"/>
      <c r="AB6" s="20"/>
      <c r="AG6" s="20"/>
      <c r="AL6" s="20"/>
      <c r="AQ6" s="20"/>
      <c r="AV6" s="20"/>
      <c r="BA6" s="20"/>
      <c r="BF6" s="20"/>
      <c r="BK6" s="20"/>
      <c r="BP6" s="20"/>
    </row>
    <row r="7" spans="2:68">
      <c r="B7" s="218"/>
      <c r="C7" s="22" t="s">
        <v>264</v>
      </c>
      <c r="D7" s="23">
        <v>161284</v>
      </c>
      <c r="E7" s="23">
        <v>165411</v>
      </c>
      <c r="F7" s="23">
        <v>169638</v>
      </c>
      <c r="G7" s="25">
        <v>176187</v>
      </c>
      <c r="H7" s="24">
        <v>176187</v>
      </c>
      <c r="I7" s="23">
        <v>179523</v>
      </c>
      <c r="J7" s="23">
        <v>187976</v>
      </c>
      <c r="K7" s="23">
        <v>193383</v>
      </c>
      <c r="L7" s="25">
        <v>194044</v>
      </c>
      <c r="M7" s="24">
        <v>194044</v>
      </c>
      <c r="N7" s="23">
        <v>197050</v>
      </c>
      <c r="O7" s="23">
        <v>199829</v>
      </c>
      <c r="P7" s="23">
        <v>199763</v>
      </c>
      <c r="Q7" s="25">
        <v>200364</v>
      </c>
      <c r="R7" s="24">
        <v>200364</v>
      </c>
      <c r="S7" s="23">
        <v>198553</v>
      </c>
      <c r="T7" s="23">
        <v>198440</v>
      </c>
      <c r="U7" s="23">
        <v>201691</v>
      </c>
      <c r="V7" s="23">
        <v>204107</v>
      </c>
      <c r="W7" s="24">
        <v>204107</v>
      </c>
      <c r="X7" s="23">
        <v>209905</v>
      </c>
      <c r="Y7" s="23">
        <v>217739</v>
      </c>
      <c r="Z7" s="23">
        <v>225501</v>
      </c>
      <c r="AA7" s="23">
        <v>228123</v>
      </c>
      <c r="AB7" s="24">
        <v>228123</v>
      </c>
      <c r="AC7" s="332">
        <v>229029</v>
      </c>
      <c r="AD7" s="332">
        <v>236486</v>
      </c>
      <c r="AE7" s="332">
        <v>243454</v>
      </c>
      <c r="AF7" s="332">
        <v>242371</v>
      </c>
      <c r="AG7" s="24">
        <v>242371</v>
      </c>
      <c r="AH7" s="332">
        <v>239233</v>
      </c>
      <c r="AI7" s="332">
        <v>240208</v>
      </c>
      <c r="AJ7" s="332">
        <v>249312</v>
      </c>
      <c r="AK7" s="332">
        <v>259619</v>
      </c>
      <c r="AL7" s="24">
        <f>AK7</f>
        <v>259619</v>
      </c>
      <c r="AM7" s="332">
        <v>267953</v>
      </c>
      <c r="AN7" s="332">
        <v>279617</v>
      </c>
      <c r="AO7" s="332">
        <v>292067</v>
      </c>
      <c r="AP7" s="332">
        <v>314015</v>
      </c>
      <c r="AQ7" s="24">
        <f>AP7</f>
        <v>314015</v>
      </c>
      <c r="AR7" s="332">
        <v>335186</v>
      </c>
      <c r="AS7" s="332">
        <v>345218</v>
      </c>
      <c r="AT7" s="332">
        <v>346845</v>
      </c>
      <c r="AU7" s="332">
        <v>343234</v>
      </c>
      <c r="AV7" s="24">
        <v>343234</v>
      </c>
      <c r="AW7" s="332">
        <v>336294</v>
      </c>
      <c r="AX7" s="332">
        <v>328764</v>
      </c>
      <c r="AY7" s="332">
        <v>322663</v>
      </c>
      <c r="AZ7" s="332">
        <v>317240</v>
      </c>
      <c r="BA7" s="24">
        <f>AZ7</f>
        <v>317240</v>
      </c>
      <c r="BB7" s="332">
        <v>315332</v>
      </c>
      <c r="BC7" s="332">
        <v>317788</v>
      </c>
      <c r="BD7" s="332">
        <v>323379</v>
      </c>
      <c r="BE7" s="332">
        <v>323578</v>
      </c>
      <c r="BF7" s="24">
        <f>BE7</f>
        <v>323578</v>
      </c>
      <c r="BG7" s="332">
        <v>323788</v>
      </c>
      <c r="BH7" s="332">
        <v>331991</v>
      </c>
      <c r="BI7" s="332">
        <v>337034</v>
      </c>
      <c r="BJ7" s="332">
        <v>328594</v>
      </c>
      <c r="BK7" s="24">
        <f>BJ7</f>
        <v>328594</v>
      </c>
      <c r="BL7" s="332">
        <v>328062</v>
      </c>
      <c r="BM7" s="332">
        <v>332542</v>
      </c>
      <c r="BN7" s="332"/>
      <c r="BO7" s="332"/>
      <c r="BP7" s="24">
        <f>BM7</f>
        <v>332542</v>
      </c>
    </row>
    <row r="8" spans="2:68" ht="12" hidden="1" customHeight="1">
      <c r="B8" s="218"/>
      <c r="C8" s="27" t="s">
        <v>265</v>
      </c>
      <c r="D8" s="19">
        <v>125182</v>
      </c>
      <c r="E8" s="19">
        <v>128374</v>
      </c>
      <c r="F8" s="19">
        <v>131953</v>
      </c>
      <c r="G8" s="29">
        <v>137452</v>
      </c>
      <c r="H8" s="28">
        <v>137452</v>
      </c>
      <c r="I8" s="19">
        <v>139055</v>
      </c>
      <c r="J8" s="19">
        <v>146888</v>
      </c>
      <c r="K8" s="19">
        <v>152109</v>
      </c>
      <c r="L8" s="29">
        <v>151922</v>
      </c>
      <c r="M8" s="28">
        <v>151922</v>
      </c>
      <c r="N8" s="19">
        <v>153955</v>
      </c>
      <c r="O8" s="19">
        <v>156274</v>
      </c>
      <c r="P8" s="19">
        <v>156296</v>
      </c>
      <c r="Q8" s="29">
        <v>157407</v>
      </c>
      <c r="R8" s="28">
        <v>157407</v>
      </c>
      <c r="S8" s="19">
        <v>155993</v>
      </c>
      <c r="T8" s="19">
        <v>155756</v>
      </c>
      <c r="U8" s="19">
        <v>158527</v>
      </c>
      <c r="V8" s="19">
        <v>160393</v>
      </c>
      <c r="W8" s="28">
        <v>160393</v>
      </c>
      <c r="X8" s="19">
        <v>165117</v>
      </c>
      <c r="Y8" s="19">
        <v>171554</v>
      </c>
      <c r="Z8" s="19">
        <v>177136</v>
      </c>
      <c r="AA8" s="19">
        <v>179624</v>
      </c>
      <c r="AB8" s="28">
        <v>179624</v>
      </c>
      <c r="AC8" s="333">
        <v>180231</v>
      </c>
      <c r="AD8" s="333">
        <v>186119</v>
      </c>
      <c r="AE8" s="333">
        <v>191252</v>
      </c>
      <c r="AF8" s="333">
        <v>190210</v>
      </c>
      <c r="AG8" s="28">
        <v>190210</v>
      </c>
      <c r="AH8" s="333" t="s">
        <v>266</v>
      </c>
      <c r="AI8" s="333"/>
      <c r="AJ8" s="333"/>
      <c r="AK8" s="333"/>
      <c r="AL8" s="28"/>
      <c r="AM8" s="333"/>
      <c r="AN8" s="333"/>
      <c r="AO8" s="333"/>
      <c r="AP8" s="333"/>
      <c r="AQ8" s="28"/>
      <c r="AR8" s="333"/>
      <c r="AS8" s="333"/>
      <c r="AT8" s="333"/>
      <c r="AU8" s="333"/>
      <c r="AV8" s="28"/>
      <c r="AW8" s="333"/>
      <c r="AX8" s="333"/>
      <c r="AY8" s="333"/>
      <c r="AZ8" s="333"/>
      <c r="BA8" s="28">
        <f t="shared" ref="BA8:BA14" si="0">AZ8</f>
        <v>0</v>
      </c>
      <c r="BB8" s="333"/>
      <c r="BC8" s="333"/>
      <c r="BD8" s="333"/>
      <c r="BE8" s="333"/>
      <c r="BF8" s="28"/>
      <c r="BG8" s="333"/>
      <c r="BH8" s="333"/>
      <c r="BI8" s="333"/>
      <c r="BJ8" s="333"/>
      <c r="BK8" s="28">
        <f t="shared" ref="BK8:BK27" si="1">BI8</f>
        <v>0</v>
      </c>
      <c r="BL8" s="333"/>
      <c r="BM8" s="333"/>
      <c r="BN8" s="333"/>
      <c r="BO8" s="333"/>
      <c r="BP8" s="28">
        <f t="shared" ref="BP8:BP28" si="2">BM8</f>
        <v>0</v>
      </c>
    </row>
    <row r="9" spans="2:68" ht="12" hidden="1" customHeight="1">
      <c r="B9" s="218"/>
      <c r="C9" s="27" t="s">
        <v>267</v>
      </c>
      <c r="D9" s="19">
        <v>111022</v>
      </c>
      <c r="E9" s="19">
        <v>113225</v>
      </c>
      <c r="F9" s="19">
        <v>119641</v>
      </c>
      <c r="G9" s="29">
        <v>126421</v>
      </c>
      <c r="H9" s="28">
        <v>126421</v>
      </c>
      <c r="I9" s="19">
        <v>129181</v>
      </c>
      <c r="J9" s="19">
        <f>162758-29922</f>
        <v>132836</v>
      </c>
      <c r="K9" s="19">
        <v>137349</v>
      </c>
      <c r="L9" s="29">
        <v>141088</v>
      </c>
      <c r="M9" s="28">
        <v>141088</v>
      </c>
      <c r="N9" s="19">
        <v>143144</v>
      </c>
      <c r="O9" s="19">
        <v>145489</v>
      </c>
      <c r="P9" s="19">
        <v>147138</v>
      </c>
      <c r="Q9" s="29">
        <v>147372</v>
      </c>
      <c r="R9" s="28">
        <v>147372</v>
      </c>
      <c r="S9" s="19">
        <v>147810</v>
      </c>
      <c r="T9" s="19">
        <v>149544</v>
      </c>
      <c r="U9" s="19">
        <v>149518</v>
      </c>
      <c r="V9" s="19">
        <v>151081</v>
      </c>
      <c r="W9" s="28">
        <v>151081</v>
      </c>
      <c r="X9" s="389" t="s">
        <v>266</v>
      </c>
      <c r="Y9" s="19"/>
      <c r="Z9" s="19"/>
      <c r="AA9" s="19"/>
      <c r="AB9" s="28"/>
      <c r="AC9" s="388"/>
      <c r="AD9" s="387"/>
      <c r="AE9" s="387"/>
      <c r="AF9" s="387"/>
      <c r="AG9" s="28"/>
      <c r="AH9" s="388"/>
      <c r="AI9" s="387"/>
      <c r="AJ9" s="387"/>
      <c r="AK9" s="387"/>
      <c r="AL9" s="28"/>
      <c r="AM9" s="388"/>
      <c r="AN9" s="387"/>
      <c r="AO9" s="387"/>
      <c r="AP9" s="387"/>
      <c r="AQ9" s="28"/>
      <c r="AR9" s="388"/>
      <c r="AS9" s="387"/>
      <c r="AT9" s="387"/>
      <c r="AU9" s="387"/>
      <c r="AV9" s="28"/>
      <c r="AW9" s="388"/>
      <c r="AX9" s="387"/>
      <c r="AY9" s="387"/>
      <c r="AZ9" s="387"/>
      <c r="BA9" s="28">
        <f t="shared" si="0"/>
        <v>0</v>
      </c>
      <c r="BB9" s="388"/>
      <c r="BC9" s="387"/>
      <c r="BD9" s="387"/>
      <c r="BE9" s="387"/>
      <c r="BF9" s="28"/>
      <c r="BG9" s="388"/>
      <c r="BH9" s="387"/>
      <c r="BI9" s="387"/>
      <c r="BJ9" s="387"/>
      <c r="BK9" s="28">
        <f t="shared" si="1"/>
        <v>0</v>
      </c>
      <c r="BL9" s="388"/>
      <c r="BM9" s="387"/>
      <c r="BN9" s="387"/>
      <c r="BO9" s="387"/>
      <c r="BP9" s="28">
        <f t="shared" si="2"/>
        <v>0</v>
      </c>
    </row>
    <row r="10" spans="2:68" ht="12" hidden="1" customHeight="1">
      <c r="B10" s="218"/>
      <c r="C10" s="27" t="s">
        <v>268</v>
      </c>
      <c r="D10" s="19">
        <v>5721</v>
      </c>
      <c r="E10" s="19">
        <v>5367</v>
      </c>
      <c r="F10" s="19">
        <v>5345</v>
      </c>
      <c r="G10" s="29">
        <v>5357</v>
      </c>
      <c r="H10" s="28">
        <v>5357</v>
      </c>
      <c r="I10" s="19">
        <v>5515</v>
      </c>
      <c r="J10" s="19">
        <v>5369</v>
      </c>
      <c r="K10" s="19">
        <v>5199</v>
      </c>
      <c r="L10" s="29">
        <v>5122</v>
      </c>
      <c r="M10" s="28">
        <v>5122</v>
      </c>
      <c r="N10" s="19">
        <v>4910</v>
      </c>
      <c r="O10" s="19">
        <v>4958</v>
      </c>
      <c r="P10" s="19">
        <v>4941</v>
      </c>
      <c r="Q10" s="29">
        <v>4753</v>
      </c>
      <c r="R10" s="28">
        <v>4753</v>
      </c>
      <c r="S10" s="19">
        <v>4770</v>
      </c>
      <c r="T10" s="19">
        <v>4498</v>
      </c>
      <c r="U10" s="19">
        <v>4367</v>
      </c>
      <c r="V10" s="19">
        <v>4308</v>
      </c>
      <c r="W10" s="28">
        <v>4308</v>
      </c>
      <c r="X10" s="389"/>
      <c r="Y10" s="19"/>
      <c r="Z10" s="19"/>
      <c r="AA10" s="19"/>
      <c r="AB10" s="28"/>
      <c r="AC10" s="388"/>
      <c r="AD10" s="387"/>
      <c r="AE10" s="387"/>
      <c r="AF10" s="387"/>
      <c r="AG10" s="28"/>
      <c r="AH10" s="388"/>
      <c r="AI10" s="387"/>
      <c r="AJ10" s="387"/>
      <c r="AK10" s="387"/>
      <c r="AL10" s="28"/>
      <c r="AM10" s="388"/>
      <c r="AN10" s="387"/>
      <c r="AO10" s="387"/>
      <c r="AP10" s="387"/>
      <c r="AQ10" s="28"/>
      <c r="AR10" s="388"/>
      <c r="AS10" s="387"/>
      <c r="AT10" s="387"/>
      <c r="AU10" s="387"/>
      <c r="AV10" s="28"/>
      <c r="AW10" s="388"/>
      <c r="AX10" s="387"/>
      <c r="AY10" s="387"/>
      <c r="AZ10" s="387"/>
      <c r="BA10" s="28">
        <f t="shared" si="0"/>
        <v>0</v>
      </c>
      <c r="BB10" s="388"/>
      <c r="BC10" s="387"/>
      <c r="BD10" s="387"/>
      <c r="BE10" s="387"/>
      <c r="BF10" s="28"/>
      <c r="BG10" s="388"/>
      <c r="BH10" s="387"/>
      <c r="BI10" s="387"/>
      <c r="BJ10" s="387"/>
      <c r="BK10" s="28">
        <f t="shared" si="1"/>
        <v>0</v>
      </c>
      <c r="BL10" s="388"/>
      <c r="BM10" s="387"/>
      <c r="BN10" s="387"/>
      <c r="BO10" s="387"/>
      <c r="BP10" s="28">
        <f t="shared" si="2"/>
        <v>0</v>
      </c>
    </row>
    <row r="11" spans="2:68" ht="12" hidden="1" customHeight="1">
      <c r="B11" s="218"/>
      <c r="C11" s="27" t="s">
        <v>269</v>
      </c>
      <c r="D11" s="19">
        <v>8439</v>
      </c>
      <c r="E11" s="19">
        <v>9782</v>
      </c>
      <c r="F11" s="19">
        <v>6967</v>
      </c>
      <c r="G11" s="29">
        <v>5674</v>
      </c>
      <c r="H11" s="28">
        <v>5674</v>
      </c>
      <c r="I11" s="19">
        <v>4359</v>
      </c>
      <c r="J11" s="19">
        <v>8683</v>
      </c>
      <c r="K11" s="19">
        <v>9561</v>
      </c>
      <c r="L11" s="29">
        <v>5712</v>
      </c>
      <c r="M11" s="28">
        <v>5712</v>
      </c>
      <c r="N11" s="19">
        <v>5901</v>
      </c>
      <c r="O11" s="19">
        <v>5827</v>
      </c>
      <c r="P11" s="19">
        <v>4217</v>
      </c>
      <c r="Q11" s="29">
        <v>5282</v>
      </c>
      <c r="R11" s="28">
        <v>5282</v>
      </c>
      <c r="S11" s="19">
        <v>3413</v>
      </c>
      <c r="T11" s="19">
        <v>1714</v>
      </c>
      <c r="U11" s="19">
        <v>4642</v>
      </c>
      <c r="V11" s="19">
        <v>5004</v>
      </c>
      <c r="W11" s="28">
        <v>5004</v>
      </c>
      <c r="X11" s="389"/>
      <c r="Y11" s="19"/>
      <c r="Z11" s="19"/>
      <c r="AA11" s="19"/>
      <c r="AB11" s="28"/>
      <c r="AC11" s="388"/>
      <c r="AD11" s="387"/>
      <c r="AE11" s="387"/>
      <c r="AF11" s="387"/>
      <c r="AG11" s="28"/>
      <c r="AH11" s="388"/>
      <c r="AI11" s="387"/>
      <c r="AJ11" s="387"/>
      <c r="AK11" s="387"/>
      <c r="AL11" s="28"/>
      <c r="AM11" s="388"/>
      <c r="AN11" s="387"/>
      <c r="AO11" s="387"/>
      <c r="AP11" s="387"/>
      <c r="AQ11" s="28"/>
      <c r="AR11" s="388"/>
      <c r="AS11" s="387"/>
      <c r="AT11" s="387"/>
      <c r="AU11" s="387"/>
      <c r="AV11" s="28"/>
      <c r="AW11" s="388"/>
      <c r="AX11" s="387"/>
      <c r="AY11" s="387"/>
      <c r="AZ11" s="387"/>
      <c r="BA11" s="28">
        <f t="shared" si="0"/>
        <v>0</v>
      </c>
      <c r="BB11" s="388"/>
      <c r="BC11" s="387"/>
      <c r="BD11" s="387"/>
      <c r="BE11" s="387"/>
      <c r="BF11" s="28"/>
      <c r="BG11" s="388"/>
      <c r="BH11" s="387"/>
      <c r="BI11" s="387"/>
      <c r="BJ11" s="387"/>
      <c r="BK11" s="28">
        <f t="shared" si="1"/>
        <v>0</v>
      </c>
      <c r="BL11" s="388"/>
      <c r="BM11" s="387"/>
      <c r="BN11" s="387"/>
      <c r="BO11" s="387"/>
      <c r="BP11" s="28">
        <f t="shared" si="2"/>
        <v>0</v>
      </c>
    </row>
    <row r="12" spans="2:68" ht="12" hidden="1" customHeight="1">
      <c r="B12" s="218"/>
      <c r="C12" s="27" t="s">
        <v>270</v>
      </c>
      <c r="D12" s="19">
        <v>7910</v>
      </c>
      <c r="E12" s="19">
        <v>7970</v>
      </c>
      <c r="F12" s="19">
        <v>8163</v>
      </c>
      <c r="G12" s="29">
        <v>8422</v>
      </c>
      <c r="H12" s="28">
        <v>8422</v>
      </c>
      <c r="I12" s="19">
        <v>9188</v>
      </c>
      <c r="J12" s="19">
        <f>10866-1795</f>
        <v>9071</v>
      </c>
      <c r="K12" s="19">
        <v>9488</v>
      </c>
      <c r="L12" s="29">
        <v>9811</v>
      </c>
      <c r="M12" s="28">
        <v>9811</v>
      </c>
      <c r="N12" s="19">
        <v>10376</v>
      </c>
      <c r="O12" s="19">
        <v>10337</v>
      </c>
      <c r="P12" s="19">
        <v>9948</v>
      </c>
      <c r="Q12" s="29">
        <v>9818</v>
      </c>
      <c r="R12" s="28">
        <v>9818</v>
      </c>
      <c r="S12" s="19">
        <v>9749</v>
      </c>
      <c r="T12" s="19">
        <v>9714</v>
      </c>
      <c r="U12" s="19">
        <v>9738</v>
      </c>
      <c r="V12" s="19">
        <v>9968</v>
      </c>
      <c r="W12" s="28">
        <v>9968</v>
      </c>
      <c r="X12" s="19">
        <v>10130</v>
      </c>
      <c r="Y12" s="19">
        <v>10468</v>
      </c>
      <c r="Z12" s="19">
        <v>10947</v>
      </c>
      <c r="AA12" s="19">
        <v>11164</v>
      </c>
      <c r="AB12" s="28">
        <v>11164</v>
      </c>
      <c r="AC12" s="333">
        <v>11385</v>
      </c>
      <c r="AD12" s="333">
        <v>11493</v>
      </c>
      <c r="AE12" s="333">
        <v>11629</v>
      </c>
      <c r="AF12" s="333">
        <v>11745</v>
      </c>
      <c r="AG12" s="28">
        <v>11745</v>
      </c>
      <c r="AH12" s="333" t="s">
        <v>266</v>
      </c>
      <c r="AI12" s="333"/>
      <c r="AJ12" s="333"/>
      <c r="AK12" s="333"/>
      <c r="AL12" s="28"/>
      <c r="AM12" s="333"/>
      <c r="AN12" s="333"/>
      <c r="AO12" s="333"/>
      <c r="AP12" s="333"/>
      <c r="AQ12" s="28"/>
      <c r="AR12" s="333"/>
      <c r="AS12" s="333"/>
      <c r="AT12" s="333"/>
      <c r="AU12" s="333"/>
      <c r="AV12" s="28"/>
      <c r="AW12" s="333"/>
      <c r="AX12" s="333"/>
      <c r="AY12" s="333"/>
      <c r="AZ12" s="333"/>
      <c r="BA12" s="28">
        <f t="shared" si="0"/>
        <v>0</v>
      </c>
      <c r="BB12" s="333"/>
      <c r="BC12" s="333"/>
      <c r="BD12" s="333"/>
      <c r="BE12" s="333"/>
      <c r="BF12" s="28"/>
      <c r="BG12" s="333"/>
      <c r="BH12" s="333"/>
      <c r="BI12" s="333"/>
      <c r="BJ12" s="333"/>
      <c r="BK12" s="28">
        <f t="shared" si="1"/>
        <v>0</v>
      </c>
      <c r="BL12" s="333"/>
      <c r="BM12" s="333"/>
      <c r="BN12" s="333"/>
      <c r="BO12" s="333"/>
      <c r="BP12" s="28">
        <f t="shared" si="2"/>
        <v>0</v>
      </c>
    </row>
    <row r="13" spans="2:68">
      <c r="B13" s="218"/>
      <c r="C13" s="27" t="s">
        <v>271</v>
      </c>
      <c r="D13" s="19"/>
      <c r="E13" s="19"/>
      <c r="F13" s="19"/>
      <c r="G13" s="29"/>
      <c r="H13" s="28"/>
      <c r="I13" s="19"/>
      <c r="J13" s="19"/>
      <c r="K13" s="19"/>
      <c r="L13" s="29"/>
      <c r="M13" s="28"/>
      <c r="N13" s="19"/>
      <c r="O13" s="19"/>
      <c r="P13" s="19"/>
      <c r="Q13" s="29"/>
      <c r="R13" s="28"/>
      <c r="S13" s="19"/>
      <c r="T13" s="19"/>
      <c r="U13" s="19"/>
      <c r="V13" s="19"/>
      <c r="W13" s="28"/>
      <c r="X13" s="19"/>
      <c r="Y13" s="19"/>
      <c r="Z13" s="19"/>
      <c r="AA13" s="19"/>
      <c r="AB13" s="28">
        <v>214727</v>
      </c>
      <c r="AC13" s="333">
        <v>215412</v>
      </c>
      <c r="AD13" s="333">
        <v>222851</v>
      </c>
      <c r="AE13" s="333">
        <v>229658</v>
      </c>
      <c r="AF13" s="333">
        <v>228449</v>
      </c>
      <c r="AG13" s="28">
        <v>228449</v>
      </c>
      <c r="AH13" s="333">
        <v>225167</v>
      </c>
      <c r="AI13" s="333">
        <v>226067</v>
      </c>
      <c r="AJ13" s="333">
        <v>234829</v>
      </c>
      <c r="AK13" s="333">
        <v>245037</v>
      </c>
      <c r="AL13" s="28">
        <f>AK13</f>
        <v>245037</v>
      </c>
      <c r="AM13" s="333">
        <v>253493</v>
      </c>
      <c r="AN13" s="333">
        <v>264918</v>
      </c>
      <c r="AO13" s="333">
        <v>276942</v>
      </c>
      <c r="AP13" s="333">
        <v>297859</v>
      </c>
      <c r="AQ13" s="28">
        <v>297859</v>
      </c>
      <c r="AR13" s="333">
        <v>318447</v>
      </c>
      <c r="AS13" s="333">
        <v>328146</v>
      </c>
      <c r="AT13" s="333">
        <v>329296</v>
      </c>
      <c r="AU13" s="333">
        <v>324816</v>
      </c>
      <c r="AV13" s="28">
        <v>324816</v>
      </c>
      <c r="AW13" s="333">
        <v>317611</v>
      </c>
      <c r="AX13" s="333">
        <v>310375</v>
      </c>
      <c r="AY13" s="333">
        <v>304590</v>
      </c>
      <c r="AZ13" s="333">
        <v>299814</v>
      </c>
      <c r="BA13" s="28">
        <f t="shared" si="0"/>
        <v>299814</v>
      </c>
      <c r="BB13" s="333">
        <v>298123</v>
      </c>
      <c r="BC13" s="333">
        <v>300774</v>
      </c>
      <c r="BD13" s="333">
        <v>306528</v>
      </c>
      <c r="BE13" s="333">
        <v>306599</v>
      </c>
      <c r="BF13" s="28">
        <f>BE13</f>
        <v>306599</v>
      </c>
      <c r="BG13" s="333">
        <v>306706</v>
      </c>
      <c r="BH13" s="333">
        <v>314500</v>
      </c>
      <c r="BI13" s="333">
        <v>319364</v>
      </c>
      <c r="BJ13" s="333">
        <v>310887</v>
      </c>
      <c r="BK13" s="28">
        <f>BJ13</f>
        <v>310887</v>
      </c>
      <c r="BL13" s="333">
        <v>310039</v>
      </c>
      <c r="BM13" s="333">
        <v>314508</v>
      </c>
      <c r="BN13" s="333"/>
      <c r="BO13" s="333"/>
      <c r="BP13" s="28">
        <f t="shared" si="2"/>
        <v>314508</v>
      </c>
    </row>
    <row r="14" spans="2:68">
      <c r="B14" s="218"/>
      <c r="C14" s="27" t="s">
        <v>272</v>
      </c>
      <c r="D14" s="19"/>
      <c r="E14" s="19"/>
      <c r="F14" s="19"/>
      <c r="G14" s="29"/>
      <c r="H14" s="28"/>
      <c r="I14" s="19"/>
      <c r="J14" s="19"/>
      <c r="K14" s="19"/>
      <c r="L14" s="29"/>
      <c r="M14" s="28"/>
      <c r="N14" s="19"/>
      <c r="O14" s="19"/>
      <c r="P14" s="19"/>
      <c r="Q14" s="29"/>
      <c r="R14" s="28"/>
      <c r="S14" s="19"/>
      <c r="T14" s="19"/>
      <c r="U14" s="19"/>
      <c r="V14" s="19"/>
      <c r="W14" s="28"/>
      <c r="X14" s="19"/>
      <c r="Y14" s="19"/>
      <c r="Z14" s="19"/>
      <c r="AA14" s="19"/>
      <c r="AB14" s="28">
        <v>13396</v>
      </c>
      <c r="AC14" s="333">
        <v>13617</v>
      </c>
      <c r="AD14" s="333">
        <v>13635</v>
      </c>
      <c r="AE14" s="333">
        <v>13796</v>
      </c>
      <c r="AF14" s="333">
        <v>13922</v>
      </c>
      <c r="AG14" s="28">
        <v>13922</v>
      </c>
      <c r="AH14" s="333">
        <v>14066</v>
      </c>
      <c r="AI14" s="333">
        <v>14141</v>
      </c>
      <c r="AJ14" s="333">
        <v>14483</v>
      </c>
      <c r="AK14" s="333">
        <v>14582</v>
      </c>
      <c r="AL14" s="28">
        <f>AK14</f>
        <v>14582</v>
      </c>
      <c r="AM14" s="333">
        <v>14460</v>
      </c>
      <c r="AN14" s="333">
        <v>14699</v>
      </c>
      <c r="AO14" s="333">
        <v>15125</v>
      </c>
      <c r="AP14" s="333">
        <v>16156</v>
      </c>
      <c r="AQ14" s="28">
        <v>16156</v>
      </c>
      <c r="AR14" s="333">
        <v>16739</v>
      </c>
      <c r="AS14" s="333">
        <v>17072</v>
      </c>
      <c r="AT14" s="333">
        <v>17549</v>
      </c>
      <c r="AU14" s="333">
        <v>18418</v>
      </c>
      <c r="AV14" s="28">
        <v>18418</v>
      </c>
      <c r="AW14" s="333">
        <v>18683</v>
      </c>
      <c r="AX14" s="333">
        <v>18389</v>
      </c>
      <c r="AY14" s="333">
        <v>18073</v>
      </c>
      <c r="AZ14" s="333">
        <v>17426</v>
      </c>
      <c r="BA14" s="28">
        <f t="shared" si="0"/>
        <v>17426</v>
      </c>
      <c r="BB14" s="333">
        <v>17209</v>
      </c>
      <c r="BC14" s="333">
        <v>17014</v>
      </c>
      <c r="BD14" s="333">
        <v>16851</v>
      </c>
      <c r="BE14" s="333">
        <v>16979</v>
      </c>
      <c r="BF14" s="28">
        <f>BE14</f>
        <v>16979</v>
      </c>
      <c r="BG14" s="333">
        <v>17082</v>
      </c>
      <c r="BH14" s="333">
        <v>17491</v>
      </c>
      <c r="BI14" s="333">
        <v>17670</v>
      </c>
      <c r="BJ14" s="333">
        <v>17707</v>
      </c>
      <c r="BK14" s="28">
        <f>BJ14</f>
        <v>17707</v>
      </c>
      <c r="BL14" s="333">
        <v>18023</v>
      </c>
      <c r="BM14" s="333">
        <v>18034</v>
      </c>
      <c r="BN14" s="333"/>
      <c r="BO14" s="333"/>
      <c r="BP14" s="28">
        <f t="shared" si="2"/>
        <v>18034</v>
      </c>
    </row>
    <row r="15" spans="2:68">
      <c r="B15" s="218"/>
      <c r="C15" s="27" t="s">
        <v>273</v>
      </c>
      <c r="D15" s="19"/>
      <c r="E15" s="19"/>
      <c r="F15" s="19"/>
      <c r="G15" s="29"/>
      <c r="H15" s="9"/>
      <c r="I15" s="19"/>
      <c r="J15" s="19"/>
      <c r="K15" s="19"/>
      <c r="L15" s="29"/>
      <c r="M15" s="9"/>
      <c r="N15" s="19"/>
      <c r="O15" s="19"/>
      <c r="P15" s="19"/>
      <c r="Q15" s="29"/>
      <c r="R15" s="9"/>
      <c r="S15" s="19"/>
      <c r="T15" s="19"/>
      <c r="U15" s="19"/>
      <c r="V15" s="19"/>
      <c r="W15" s="9"/>
      <c r="X15" s="330"/>
      <c r="Y15" s="330"/>
      <c r="Z15" s="330"/>
      <c r="AA15" s="330"/>
      <c r="AB15" s="9">
        <v>0.36699999999999999</v>
      </c>
      <c r="AC15" s="334">
        <v>0.37</v>
      </c>
      <c r="AD15" s="334">
        <v>0.374</v>
      </c>
      <c r="AE15" s="334">
        <v>0.378</v>
      </c>
      <c r="AF15" s="334">
        <v>0.378</v>
      </c>
      <c r="AG15" s="9">
        <f>AE15</f>
        <v>0.378</v>
      </c>
      <c r="AH15" s="334">
        <v>0.378</v>
      </c>
      <c r="AI15" s="334">
        <v>0.379</v>
      </c>
      <c r="AJ15" s="334">
        <v>0.38300000000000001</v>
      </c>
      <c r="AK15" s="334">
        <v>0.38600000000000001</v>
      </c>
      <c r="AL15" s="9">
        <v>0.38600000000000001</v>
      </c>
      <c r="AM15" s="334">
        <v>0.38800000000000001</v>
      </c>
      <c r="AN15" s="334">
        <v>0.39100000000000001</v>
      </c>
      <c r="AO15" s="334">
        <v>0.39600000000000002</v>
      </c>
      <c r="AP15" s="334">
        <v>0.39600000000000002</v>
      </c>
      <c r="AQ15" s="9">
        <v>0.39600000000000002</v>
      </c>
      <c r="AR15" s="334">
        <v>0.39300000000000002</v>
      </c>
      <c r="AS15" s="334">
        <v>0.39300000000000002</v>
      </c>
      <c r="AT15" s="334">
        <v>0.39400000000000002</v>
      </c>
      <c r="AU15" s="334">
        <v>0.39400000000000002</v>
      </c>
      <c r="AV15" s="9">
        <v>0.39400000000000002</v>
      </c>
      <c r="AW15" s="334">
        <v>0.39500000000000002</v>
      </c>
      <c r="AX15" s="334">
        <v>0.39400000000000002</v>
      </c>
      <c r="AY15" s="334">
        <v>0.39300000000000002</v>
      </c>
      <c r="AZ15" s="334">
        <v>0.39300000000000002</v>
      </c>
      <c r="BA15" s="9">
        <f>AZ15</f>
        <v>0.39300000000000002</v>
      </c>
      <c r="BB15" s="334">
        <v>0.39200000000000002</v>
      </c>
      <c r="BC15" s="334">
        <v>0.39</v>
      </c>
      <c r="BD15" s="334">
        <v>0.39</v>
      </c>
      <c r="BE15" s="334">
        <v>0.39</v>
      </c>
      <c r="BF15" s="9">
        <f>BE15</f>
        <v>0.39</v>
      </c>
      <c r="BG15" s="334">
        <v>0.39100000000000001</v>
      </c>
      <c r="BH15" s="334">
        <v>0.39500000000000002</v>
      </c>
      <c r="BI15" s="334">
        <v>0.39500000000000002</v>
      </c>
      <c r="BJ15" s="334">
        <v>0.39500000000000002</v>
      </c>
      <c r="BK15" s="9">
        <f>BJ15</f>
        <v>0.39500000000000002</v>
      </c>
      <c r="BL15" s="334">
        <v>0.39600000000000002</v>
      </c>
      <c r="BM15" s="334">
        <v>0.39800000000000002</v>
      </c>
      <c r="BN15" s="334"/>
      <c r="BO15" s="334"/>
      <c r="BP15" s="9">
        <f t="shared" si="2"/>
        <v>0.39800000000000002</v>
      </c>
    </row>
    <row r="16" spans="2:68" hidden="1">
      <c r="B16" s="218"/>
      <c r="C16" s="27"/>
      <c r="G16" s="21"/>
      <c r="H16" s="30"/>
      <c r="L16" s="21"/>
      <c r="M16" s="30"/>
      <c r="Q16" s="21"/>
      <c r="R16" s="30"/>
      <c r="W16" s="30"/>
      <c r="AB16" s="30"/>
      <c r="AC16" s="335"/>
      <c r="AD16" s="335"/>
      <c r="AE16" s="335"/>
      <c r="AF16" s="335"/>
      <c r="AG16" s="30"/>
      <c r="AH16" s="335"/>
      <c r="AI16" s="335"/>
      <c r="AJ16" s="335"/>
      <c r="AK16" s="335"/>
      <c r="AL16" s="30"/>
      <c r="AM16" s="336"/>
      <c r="AN16" s="335"/>
      <c r="AO16" s="335"/>
      <c r="AP16" s="335"/>
      <c r="AQ16" s="30"/>
      <c r="AR16" s="336"/>
      <c r="AS16" s="335"/>
      <c r="AT16" s="335"/>
      <c r="AU16" s="335"/>
      <c r="AV16" s="30"/>
      <c r="AW16" s="336"/>
      <c r="AX16" s="335"/>
      <c r="AY16" s="335"/>
      <c r="AZ16" s="335"/>
      <c r="BA16" s="30"/>
      <c r="BB16" s="336"/>
      <c r="BC16" s="335"/>
      <c r="BD16" s="335"/>
      <c r="BE16" s="335"/>
      <c r="BF16" s="30"/>
      <c r="BG16" s="336"/>
      <c r="BH16" s="335"/>
      <c r="BI16" s="335"/>
      <c r="BJ16" s="335"/>
      <c r="BK16" s="30">
        <f t="shared" si="1"/>
        <v>0</v>
      </c>
      <c r="BL16" s="336"/>
      <c r="BM16" s="335"/>
      <c r="BN16" s="335"/>
      <c r="BO16" s="335"/>
      <c r="BP16" s="30">
        <f t="shared" si="2"/>
        <v>0</v>
      </c>
    </row>
    <row r="17" spans="2:68" ht="12" hidden="1" customHeight="1">
      <c r="B17" s="218"/>
      <c r="C17" s="27" t="s">
        <v>274</v>
      </c>
      <c r="D17" s="19">
        <v>28192</v>
      </c>
      <c r="E17" s="19">
        <v>29067</v>
      </c>
      <c r="F17" s="19">
        <v>29522</v>
      </c>
      <c r="G17" s="29">
        <v>30313</v>
      </c>
      <c r="H17" s="28">
        <v>30313</v>
      </c>
      <c r="I17" s="19">
        <v>31280</v>
      </c>
      <c r="J17" s="19">
        <v>32017</v>
      </c>
      <c r="K17" s="19">
        <v>31786</v>
      </c>
      <c r="L17" s="29">
        <v>32311</v>
      </c>
      <c r="M17" s="28">
        <v>32311</v>
      </c>
      <c r="N17" s="19">
        <v>32719</v>
      </c>
      <c r="O17" s="19">
        <v>33218</v>
      </c>
      <c r="P17" s="19">
        <v>33519</v>
      </c>
      <c r="Q17" s="29">
        <v>33139</v>
      </c>
      <c r="R17" s="28">
        <v>33139</v>
      </c>
      <c r="S17" s="19">
        <v>32811</v>
      </c>
      <c r="T17" s="19">
        <v>32970</v>
      </c>
      <c r="U17" s="19">
        <v>33426</v>
      </c>
      <c r="V17" s="19">
        <v>33746</v>
      </c>
      <c r="W17" s="28">
        <v>33746</v>
      </c>
      <c r="X17" s="19">
        <v>34658</v>
      </c>
      <c r="Y17" s="19">
        <v>35717</v>
      </c>
      <c r="Z17" s="19">
        <v>37418</v>
      </c>
      <c r="AA17" s="19">
        <v>37335</v>
      </c>
      <c r="AB17" s="28">
        <v>37335</v>
      </c>
      <c r="AC17" s="333" t="s">
        <v>266</v>
      </c>
      <c r="AD17" s="333" t="s">
        <v>266</v>
      </c>
      <c r="AE17" s="333"/>
      <c r="AF17" s="333"/>
      <c r="AG17" s="28"/>
      <c r="AH17" s="333"/>
      <c r="AI17" s="333"/>
      <c r="AJ17" s="333"/>
      <c r="AK17" s="333"/>
      <c r="AL17" s="28"/>
      <c r="AM17" s="333"/>
      <c r="AN17" s="333"/>
      <c r="AO17" s="333"/>
      <c r="AP17" s="333"/>
      <c r="AQ17" s="28"/>
      <c r="AR17" s="333"/>
      <c r="AS17" s="333"/>
      <c r="AT17" s="333"/>
      <c r="AU17" s="333"/>
      <c r="AV17" s="28"/>
      <c r="AW17" s="333"/>
      <c r="AX17" s="333"/>
      <c r="AY17" s="333"/>
      <c r="AZ17" s="333"/>
      <c r="BA17" s="28"/>
      <c r="BB17" s="333"/>
      <c r="BC17" s="333"/>
      <c r="BD17" s="333"/>
      <c r="BE17" s="333"/>
      <c r="BF17" s="28"/>
      <c r="BG17" s="333"/>
      <c r="BH17" s="333"/>
      <c r="BI17" s="333"/>
      <c r="BJ17" s="333"/>
      <c r="BK17" s="28">
        <f t="shared" si="1"/>
        <v>0</v>
      </c>
      <c r="BL17" s="333"/>
      <c r="BM17" s="333"/>
      <c r="BN17" s="333"/>
      <c r="BO17" s="333"/>
      <c r="BP17" s="28">
        <f t="shared" si="2"/>
        <v>0</v>
      </c>
    </row>
    <row r="18" spans="2:68" ht="12" hidden="1" customHeight="1">
      <c r="B18" s="218"/>
      <c r="C18" s="27"/>
      <c r="D18" s="19"/>
      <c r="E18" s="19"/>
      <c r="F18" s="19"/>
      <c r="G18" s="29"/>
      <c r="H18" s="28"/>
      <c r="I18" s="19"/>
      <c r="J18" s="19"/>
      <c r="K18" s="19"/>
      <c r="L18" s="29"/>
      <c r="M18" s="28"/>
      <c r="N18" s="19"/>
      <c r="O18" s="19"/>
      <c r="P18" s="19"/>
      <c r="Q18" s="29"/>
      <c r="R18" s="28"/>
      <c r="S18" s="19"/>
      <c r="T18" s="19"/>
      <c r="U18" s="19"/>
      <c r="V18" s="19"/>
      <c r="W18" s="28"/>
      <c r="X18" s="19"/>
      <c r="Y18" s="19"/>
      <c r="Z18" s="19"/>
      <c r="AA18" s="19"/>
      <c r="AB18" s="28"/>
      <c r="AC18" s="333"/>
      <c r="AD18" s="333"/>
      <c r="AE18" s="333"/>
      <c r="AF18" s="333"/>
      <c r="AG18" s="28"/>
      <c r="AH18" s="333"/>
      <c r="AI18" s="333"/>
      <c r="AJ18" s="333"/>
      <c r="AK18" s="333"/>
      <c r="AL18" s="28"/>
      <c r="AM18" s="333"/>
      <c r="AN18" s="333"/>
      <c r="AO18" s="333"/>
      <c r="AP18" s="333"/>
      <c r="AQ18" s="28"/>
      <c r="AR18" s="333"/>
      <c r="AS18" s="333"/>
      <c r="AT18" s="333"/>
      <c r="AU18" s="333"/>
      <c r="AV18" s="28"/>
      <c r="AW18" s="333"/>
      <c r="AX18" s="333"/>
      <c r="AY18" s="333"/>
      <c r="AZ18" s="333"/>
      <c r="BA18" s="28"/>
      <c r="BB18" s="333"/>
      <c r="BC18" s="333"/>
      <c r="BD18" s="333"/>
      <c r="BE18" s="333"/>
      <c r="BF18" s="28"/>
      <c r="BG18" s="333"/>
      <c r="BH18" s="333"/>
      <c r="BI18" s="333"/>
      <c r="BJ18" s="333"/>
      <c r="BK18" s="28">
        <f t="shared" si="1"/>
        <v>0</v>
      </c>
      <c r="BL18" s="333"/>
      <c r="BM18" s="333"/>
      <c r="BN18" s="333"/>
      <c r="BO18" s="333"/>
      <c r="BP18" s="28">
        <f t="shared" si="2"/>
        <v>0</v>
      </c>
    </row>
    <row r="19" spans="2:68" ht="12" hidden="1" customHeight="1">
      <c r="B19" s="218"/>
      <c r="C19" s="3" t="s">
        <v>275</v>
      </c>
      <c r="D19" s="19">
        <v>11506</v>
      </c>
      <c r="E19" s="19">
        <v>14255</v>
      </c>
      <c r="F19" s="19">
        <v>13154</v>
      </c>
      <c r="G19" s="29">
        <v>14471</v>
      </c>
      <c r="H19" s="28">
        <f>SUM(D19:G19)</f>
        <v>53386</v>
      </c>
      <c r="I19" s="19">
        <v>11889</v>
      </c>
      <c r="J19" s="19">
        <v>17595</v>
      </c>
      <c r="K19" s="19">
        <v>14027</v>
      </c>
      <c r="L19" s="29">
        <v>9034</v>
      </c>
      <c r="M19" s="28">
        <f>SUM(I19:L19)</f>
        <v>52545</v>
      </c>
      <c r="N19" s="19">
        <v>13268</v>
      </c>
      <c r="O19" s="19">
        <v>12717</v>
      </c>
      <c r="P19" s="19">
        <v>9120</v>
      </c>
      <c r="Q19" s="29">
        <v>9130</v>
      </c>
      <c r="R19" s="28">
        <f>SUM(N19:Q19)</f>
        <v>44235</v>
      </c>
      <c r="S19" s="19">
        <v>8645</v>
      </c>
      <c r="T19" s="19">
        <v>10514</v>
      </c>
      <c r="U19" s="19">
        <v>12622</v>
      </c>
      <c r="V19" s="19">
        <v>12329</v>
      </c>
      <c r="W19" s="28">
        <f>SUM(S19:V19)</f>
        <v>44110</v>
      </c>
      <c r="X19" s="19">
        <v>17709</v>
      </c>
      <c r="Y19" s="19">
        <v>19721</v>
      </c>
      <c r="Z19" s="19">
        <v>18773</v>
      </c>
      <c r="AA19" s="19">
        <v>14203</v>
      </c>
      <c r="AB19" s="28">
        <f>SUM(X19:AA19)</f>
        <v>70406</v>
      </c>
      <c r="AC19" s="333" t="s">
        <v>266</v>
      </c>
      <c r="AD19" s="333" t="s">
        <v>266</v>
      </c>
      <c r="AE19" s="333"/>
      <c r="AF19" s="333"/>
      <c r="AG19" s="28"/>
      <c r="AH19" s="333"/>
      <c r="AI19" s="333"/>
      <c r="AJ19" s="333"/>
      <c r="AK19" s="333"/>
      <c r="AL19" s="28"/>
      <c r="AM19" s="333"/>
      <c r="AN19" s="333"/>
      <c r="AO19" s="333"/>
      <c r="AP19" s="333"/>
      <c r="AQ19" s="28"/>
      <c r="AR19" s="333"/>
      <c r="AS19" s="333"/>
      <c r="AT19" s="333"/>
      <c r="AU19" s="333"/>
      <c r="AV19" s="28"/>
      <c r="AW19" s="333"/>
      <c r="AX19" s="333"/>
      <c r="AY19" s="333"/>
      <c r="AZ19" s="333"/>
      <c r="BA19" s="28"/>
      <c r="BB19" s="333"/>
      <c r="BC19" s="333"/>
      <c r="BD19" s="333"/>
      <c r="BE19" s="333"/>
      <c r="BF19" s="28"/>
      <c r="BG19" s="333"/>
      <c r="BH19" s="333"/>
      <c r="BI19" s="333"/>
      <c r="BJ19" s="333"/>
      <c r="BK19" s="28">
        <f t="shared" si="1"/>
        <v>0</v>
      </c>
      <c r="BL19" s="333"/>
      <c r="BM19" s="333"/>
      <c r="BN19" s="333"/>
      <c r="BO19" s="333"/>
      <c r="BP19" s="28">
        <f t="shared" si="2"/>
        <v>0</v>
      </c>
    </row>
    <row r="20" spans="2:68" ht="12" hidden="1" customHeight="1">
      <c r="B20" s="218"/>
      <c r="C20" s="3" t="s">
        <v>276</v>
      </c>
      <c r="D20" s="19">
        <v>879</v>
      </c>
      <c r="E20" s="19">
        <v>4127</v>
      </c>
      <c r="F20" s="19">
        <v>4227</v>
      </c>
      <c r="G20" s="29">
        <v>6549</v>
      </c>
      <c r="H20" s="28">
        <f>SUM(D20:G20)</f>
        <v>15782</v>
      </c>
      <c r="I20" s="19">
        <v>3336</v>
      </c>
      <c r="J20" s="19">
        <v>8453</v>
      </c>
      <c r="K20" s="19">
        <v>5407</v>
      </c>
      <c r="L20" s="29">
        <v>661</v>
      </c>
      <c r="M20" s="28">
        <f>SUM(I20:L20)</f>
        <v>17857</v>
      </c>
      <c r="N20" s="19">
        <v>3006</v>
      </c>
      <c r="O20" s="19">
        <v>2779</v>
      </c>
      <c r="P20" s="19">
        <v>-66</v>
      </c>
      <c r="Q20" s="29">
        <v>601</v>
      </c>
      <c r="R20" s="28">
        <f>SUM(N20:Q20)</f>
        <v>6320</v>
      </c>
      <c r="S20" s="19">
        <v>-1811</v>
      </c>
      <c r="T20" s="19">
        <v>-113</v>
      </c>
      <c r="U20" s="19">
        <v>3251</v>
      </c>
      <c r="V20" s="19">
        <v>2416</v>
      </c>
      <c r="W20" s="28">
        <f>SUM(S20:V20)</f>
        <v>3743</v>
      </c>
      <c r="X20" s="19">
        <v>5798</v>
      </c>
      <c r="Y20" s="19">
        <v>7834</v>
      </c>
      <c r="Z20" s="19">
        <v>7762</v>
      </c>
      <c r="AA20" s="19">
        <v>2622</v>
      </c>
      <c r="AB20" s="28">
        <f>SUM(X20:AA20)</f>
        <v>24016</v>
      </c>
      <c r="AC20" s="333" t="s">
        <v>266</v>
      </c>
      <c r="AD20" s="333" t="s">
        <v>266</v>
      </c>
      <c r="AE20" s="333"/>
      <c r="AF20" s="333"/>
      <c r="AG20" s="28"/>
      <c r="AH20" s="333"/>
      <c r="AI20" s="333"/>
      <c r="AJ20" s="333"/>
      <c r="AK20" s="333"/>
      <c r="AL20" s="28"/>
      <c r="AM20" s="333"/>
      <c r="AN20" s="333"/>
      <c r="AO20" s="333"/>
      <c r="AP20" s="333"/>
      <c r="AQ20" s="28"/>
      <c r="AR20" s="333"/>
      <c r="AS20" s="333"/>
      <c r="AT20" s="333"/>
      <c r="AU20" s="333"/>
      <c r="AV20" s="28"/>
      <c r="AW20" s="333"/>
      <c r="AX20" s="333"/>
      <c r="AY20" s="333"/>
      <c r="AZ20" s="333"/>
      <c r="BA20" s="28"/>
      <c r="BB20" s="333"/>
      <c r="BC20" s="333"/>
      <c r="BD20" s="333"/>
      <c r="BE20" s="333"/>
      <c r="BF20" s="28"/>
      <c r="BG20" s="333"/>
      <c r="BH20" s="333"/>
      <c r="BI20" s="333"/>
      <c r="BJ20" s="333"/>
      <c r="BK20" s="28">
        <f t="shared" si="1"/>
        <v>0</v>
      </c>
      <c r="BL20" s="333"/>
      <c r="BM20" s="333"/>
      <c r="BN20" s="333"/>
      <c r="BO20" s="333"/>
      <c r="BP20" s="28">
        <f t="shared" si="2"/>
        <v>0</v>
      </c>
    </row>
    <row r="21" spans="2:68" ht="12" hidden="1" customHeight="1">
      <c r="B21" s="218"/>
      <c r="C21" s="3" t="s">
        <v>277</v>
      </c>
      <c r="D21" s="19">
        <v>3954</v>
      </c>
      <c r="E21" s="19">
        <v>4774</v>
      </c>
      <c r="F21" s="19">
        <v>6094</v>
      </c>
      <c r="G21" s="29">
        <v>8334</v>
      </c>
      <c r="H21" s="28">
        <f>SUM(D21:G21)</f>
        <v>23156</v>
      </c>
      <c r="I21" s="19">
        <v>5886</v>
      </c>
      <c r="J21" s="19">
        <v>7452</v>
      </c>
      <c r="K21" s="19">
        <v>6115</v>
      </c>
      <c r="L21" s="29">
        <v>5266</v>
      </c>
      <c r="M21" s="28">
        <f>SUM(I21:L21)</f>
        <v>24719</v>
      </c>
      <c r="N21" s="19">
        <v>5260</v>
      </c>
      <c r="O21" s="19">
        <v>5752</v>
      </c>
      <c r="P21" s="19">
        <v>4000</v>
      </c>
      <c r="Q21" s="29">
        <v>3967</v>
      </c>
      <c r="R21" s="28">
        <f>SUM(N21:Q21)</f>
        <v>18979</v>
      </c>
      <c r="S21" s="19" t="s">
        <v>278</v>
      </c>
      <c r="T21" s="19"/>
      <c r="U21" s="19"/>
      <c r="V21" s="19"/>
      <c r="W21" s="28"/>
      <c r="X21" s="19"/>
      <c r="Y21" s="19"/>
      <c r="Z21" s="19"/>
      <c r="AA21" s="19"/>
      <c r="AB21" s="28"/>
      <c r="AC21" s="333" t="s">
        <v>266</v>
      </c>
      <c r="AD21" s="333" t="s">
        <v>266</v>
      </c>
      <c r="AE21" s="333"/>
      <c r="AF21" s="333"/>
      <c r="AG21" s="28"/>
      <c r="AH21" s="333"/>
      <c r="AI21" s="333"/>
      <c r="AJ21" s="333"/>
      <c r="AK21" s="333"/>
      <c r="AL21" s="28"/>
      <c r="AM21" s="333"/>
      <c r="AN21" s="333"/>
      <c r="AO21" s="333"/>
      <c r="AP21" s="333"/>
      <c r="AQ21" s="28"/>
      <c r="AR21" s="333"/>
      <c r="AS21" s="333"/>
      <c r="AT21" s="333"/>
      <c r="AU21" s="333"/>
      <c r="AV21" s="28"/>
      <c r="AW21" s="333"/>
      <c r="AX21" s="333"/>
      <c r="AY21" s="333"/>
      <c r="AZ21" s="333"/>
      <c r="BA21" s="28"/>
      <c r="BB21" s="333"/>
      <c r="BC21" s="333"/>
      <c r="BD21" s="333"/>
      <c r="BE21" s="333"/>
      <c r="BF21" s="28"/>
      <c r="BG21" s="333"/>
      <c r="BH21" s="333"/>
      <c r="BI21" s="333"/>
      <c r="BJ21" s="333"/>
      <c r="BK21" s="28">
        <f t="shared" si="1"/>
        <v>0</v>
      </c>
      <c r="BL21" s="333"/>
      <c r="BM21" s="333"/>
      <c r="BN21" s="333"/>
      <c r="BO21" s="333"/>
      <c r="BP21" s="28">
        <f t="shared" si="2"/>
        <v>0</v>
      </c>
    </row>
    <row r="22" spans="2:68" ht="12" hidden="1" customHeight="1">
      <c r="B22" s="218"/>
      <c r="C22" s="3"/>
      <c r="D22" s="19"/>
      <c r="E22" s="19"/>
      <c r="F22" s="19"/>
      <c r="G22" s="29"/>
      <c r="H22" s="28"/>
      <c r="I22" s="19"/>
      <c r="J22" s="19"/>
      <c r="K22" s="19"/>
      <c r="L22" s="29"/>
      <c r="M22" s="28"/>
      <c r="N22" s="19"/>
      <c r="O22" s="19"/>
      <c r="P22" s="19"/>
      <c r="Q22" s="29"/>
      <c r="R22" s="28"/>
      <c r="S22" s="19"/>
      <c r="T22" s="19"/>
      <c r="U22" s="19"/>
      <c r="V22" s="19"/>
      <c r="W22" s="28"/>
      <c r="X22" s="19"/>
      <c r="Y22" s="19"/>
      <c r="Z22" s="19"/>
      <c r="AA22" s="19"/>
      <c r="AB22" s="28"/>
      <c r="AC22" s="333"/>
      <c r="AD22" s="333"/>
      <c r="AE22" s="333"/>
      <c r="AF22" s="333"/>
      <c r="AG22" s="28"/>
      <c r="AH22" s="333"/>
      <c r="AI22" s="333"/>
      <c r="AJ22" s="333"/>
      <c r="AK22" s="333"/>
      <c r="AL22" s="28"/>
      <c r="AM22" s="333"/>
      <c r="AN22" s="333"/>
      <c r="AO22" s="333"/>
      <c r="AP22" s="333"/>
      <c r="AQ22" s="28"/>
      <c r="AR22" s="333"/>
      <c r="AS22" s="333"/>
      <c r="AT22" s="333"/>
      <c r="AU22" s="333"/>
      <c r="AV22" s="28"/>
      <c r="AW22" s="333"/>
      <c r="AX22" s="333"/>
      <c r="AY22" s="333"/>
      <c r="AZ22" s="333"/>
      <c r="BA22" s="28"/>
      <c r="BB22" s="333"/>
      <c r="BC22" s="333"/>
      <c r="BD22" s="333"/>
      <c r="BE22" s="333"/>
      <c r="BF22" s="28"/>
      <c r="BG22" s="333"/>
      <c r="BH22" s="333"/>
      <c r="BI22" s="333"/>
      <c r="BJ22" s="333"/>
      <c r="BK22" s="28">
        <f t="shared" si="1"/>
        <v>0</v>
      </c>
      <c r="BL22" s="333"/>
      <c r="BM22" s="333"/>
      <c r="BN22" s="333"/>
      <c r="BO22" s="333"/>
      <c r="BP22" s="28">
        <f t="shared" si="2"/>
        <v>0</v>
      </c>
    </row>
    <row r="23" spans="2:68" s="32" customFormat="1" ht="12" hidden="1" customHeight="1">
      <c r="B23" s="219"/>
      <c r="C23" s="31" t="s">
        <v>279</v>
      </c>
      <c r="D23" s="8">
        <v>0.19500000000000001</v>
      </c>
      <c r="E23" s="8">
        <v>0.20100000000000001</v>
      </c>
      <c r="F23" s="8">
        <v>0.20399999999999999</v>
      </c>
      <c r="G23" s="10">
        <v>0.189</v>
      </c>
      <c r="H23" s="9">
        <v>0.189</v>
      </c>
      <c r="I23" s="8"/>
      <c r="J23" s="8"/>
      <c r="K23" s="8"/>
      <c r="L23" s="10"/>
      <c r="M23" s="9"/>
      <c r="N23" s="8"/>
      <c r="O23" s="8"/>
      <c r="P23" s="8"/>
      <c r="Q23" s="10"/>
      <c r="R23" s="9"/>
      <c r="S23" s="8"/>
      <c r="T23" s="8"/>
      <c r="U23" s="8"/>
      <c r="V23" s="8"/>
      <c r="W23" s="9"/>
      <c r="X23" s="8"/>
      <c r="Y23" s="8"/>
      <c r="Z23" s="8"/>
      <c r="AA23" s="8"/>
      <c r="AB23" s="9"/>
      <c r="AC23" s="336"/>
      <c r="AD23" s="336"/>
      <c r="AE23" s="336"/>
      <c r="AF23" s="336"/>
      <c r="AG23" s="9"/>
      <c r="AH23" s="336"/>
      <c r="AI23" s="336"/>
      <c r="AJ23" s="336"/>
      <c r="AK23" s="336"/>
      <c r="AL23" s="9"/>
      <c r="AM23" s="336"/>
      <c r="AN23" s="336"/>
      <c r="AO23" s="336"/>
      <c r="AP23" s="336"/>
      <c r="AQ23" s="9"/>
      <c r="AR23" s="336"/>
      <c r="AS23" s="336"/>
      <c r="AT23" s="336"/>
      <c r="AU23" s="336"/>
      <c r="AV23" s="9"/>
      <c r="AW23" s="336"/>
      <c r="AX23" s="336"/>
      <c r="AY23" s="336"/>
      <c r="AZ23" s="336"/>
      <c r="BA23" s="9"/>
      <c r="BB23" s="336"/>
      <c r="BC23" s="336"/>
      <c r="BD23" s="336"/>
      <c r="BE23" s="336"/>
      <c r="BF23" s="9"/>
      <c r="BG23" s="336"/>
      <c r="BH23" s="336"/>
      <c r="BI23" s="336"/>
      <c r="BJ23" s="336"/>
      <c r="BK23" s="9">
        <f t="shared" si="1"/>
        <v>0</v>
      </c>
      <c r="BL23" s="336"/>
      <c r="BM23" s="336"/>
      <c r="BN23" s="336"/>
      <c r="BO23" s="336"/>
      <c r="BP23" s="9">
        <f t="shared" si="2"/>
        <v>0</v>
      </c>
    </row>
    <row r="24" spans="2:68" s="32" customFormat="1" ht="12" hidden="1" customHeight="1">
      <c r="B24" s="219"/>
      <c r="C24" s="31" t="s">
        <v>280</v>
      </c>
      <c r="D24" s="8">
        <v>0.183</v>
      </c>
      <c r="E24" s="8">
        <v>0.189</v>
      </c>
      <c r="F24" s="8">
        <v>0.191</v>
      </c>
      <c r="G24" s="10">
        <v>0.17799999999999999</v>
      </c>
      <c r="H24" s="9">
        <v>0.17799999999999999</v>
      </c>
      <c r="I24" s="8"/>
      <c r="J24" s="8"/>
      <c r="K24" s="8"/>
      <c r="L24" s="10"/>
      <c r="M24" s="9"/>
      <c r="N24" s="8"/>
      <c r="O24" s="8"/>
      <c r="P24" s="8"/>
      <c r="Q24" s="10"/>
      <c r="R24" s="9"/>
      <c r="S24" s="8"/>
      <c r="T24" s="8"/>
      <c r="U24" s="8"/>
      <c r="V24" s="8"/>
      <c r="W24" s="9"/>
      <c r="X24" s="8"/>
      <c r="Y24" s="8"/>
      <c r="Z24" s="8"/>
      <c r="AA24" s="8"/>
      <c r="AB24" s="9"/>
      <c r="AC24" s="336"/>
      <c r="AD24" s="336"/>
      <c r="AE24" s="336"/>
      <c r="AF24" s="336"/>
      <c r="AG24" s="9"/>
      <c r="AH24" s="336"/>
      <c r="AI24" s="336"/>
      <c r="AJ24" s="336"/>
      <c r="AK24" s="336"/>
      <c r="AL24" s="9"/>
      <c r="AM24" s="336"/>
      <c r="AN24" s="336"/>
      <c r="AO24" s="336"/>
      <c r="AP24" s="336"/>
      <c r="AQ24" s="9"/>
      <c r="AR24" s="336"/>
      <c r="AS24" s="336"/>
      <c r="AT24" s="336"/>
      <c r="AU24" s="336"/>
      <c r="AV24" s="9"/>
      <c r="AW24" s="336"/>
      <c r="AX24" s="336"/>
      <c r="AY24" s="336"/>
      <c r="AZ24" s="336"/>
      <c r="BA24" s="9"/>
      <c r="BB24" s="336"/>
      <c r="BC24" s="336"/>
      <c r="BD24" s="336"/>
      <c r="BE24" s="336"/>
      <c r="BF24" s="9"/>
      <c r="BG24" s="336"/>
      <c r="BH24" s="336"/>
      <c r="BI24" s="336"/>
      <c r="BJ24" s="336"/>
      <c r="BK24" s="9">
        <f t="shared" si="1"/>
        <v>0</v>
      </c>
      <c r="BL24" s="336"/>
      <c r="BM24" s="336"/>
      <c r="BN24" s="336"/>
      <c r="BO24" s="336"/>
      <c r="BP24" s="9">
        <f t="shared" si="2"/>
        <v>0</v>
      </c>
    </row>
    <row r="25" spans="2:68" s="32" customFormat="1" ht="12" hidden="1" customHeight="1">
      <c r="B25" s="219"/>
      <c r="C25" s="82" t="s">
        <v>281</v>
      </c>
      <c r="D25" s="8">
        <v>0.23386183465458663</v>
      </c>
      <c r="E25" s="8">
        <v>0.21134706518609592</v>
      </c>
      <c r="F25" s="8">
        <v>0.18219147410086411</v>
      </c>
      <c r="G25" s="10">
        <v>0.1336662523511489</v>
      </c>
      <c r="H25" s="9">
        <v>0.189</v>
      </c>
      <c r="I25" s="8">
        <v>0.14241110023506548</v>
      </c>
      <c r="J25" s="8">
        <v>0.14099999999999999</v>
      </c>
      <c r="K25" s="8">
        <v>0.13400000000000001</v>
      </c>
      <c r="L25" s="10">
        <v>0.126</v>
      </c>
      <c r="M25" s="9">
        <v>0.13600000000000001</v>
      </c>
      <c r="N25" s="8">
        <v>0.158</v>
      </c>
      <c r="O25" s="8">
        <v>0.157</v>
      </c>
      <c r="P25" s="8">
        <v>0.14899999999999999</v>
      </c>
      <c r="Q25" s="10">
        <v>0.13500000000000001</v>
      </c>
      <c r="R25" s="9">
        <v>0.15</v>
      </c>
      <c r="S25" s="8">
        <v>0.16900000000000001</v>
      </c>
      <c r="T25" s="8">
        <v>0.17199999999999999</v>
      </c>
      <c r="U25" s="8">
        <v>0.158</v>
      </c>
      <c r="V25" s="8">
        <v>0.16600000000000001</v>
      </c>
      <c r="W25" s="9">
        <v>0.16400000000000001</v>
      </c>
      <c r="X25" s="8">
        <v>0.20599999999999999</v>
      </c>
      <c r="Y25" s="8">
        <v>0.19900000000000001</v>
      </c>
      <c r="Z25" s="8">
        <v>0.17799999999999999</v>
      </c>
      <c r="AA25" s="8">
        <v>0.183</v>
      </c>
      <c r="AB25" s="9">
        <v>0.192</v>
      </c>
      <c r="AC25" s="336">
        <v>0.215</v>
      </c>
      <c r="AD25" s="336">
        <v>0.19400000000000001</v>
      </c>
      <c r="AE25" s="336">
        <v>0.17599999999999999</v>
      </c>
      <c r="AF25" s="336">
        <v>0.182</v>
      </c>
      <c r="AG25" s="9">
        <v>0.192</v>
      </c>
      <c r="AH25" s="336" t="s">
        <v>266</v>
      </c>
      <c r="AI25" s="336"/>
      <c r="AJ25" s="336"/>
      <c r="AK25" s="336"/>
      <c r="AL25" s="9"/>
      <c r="AM25" s="336"/>
      <c r="AN25" s="336"/>
      <c r="AO25" s="336"/>
      <c r="AP25" s="336"/>
      <c r="AQ25" s="9"/>
      <c r="AR25" s="336"/>
      <c r="AS25" s="336"/>
      <c r="AT25" s="336"/>
      <c r="AU25" s="336"/>
      <c r="AV25" s="9"/>
      <c r="AW25" s="336"/>
      <c r="AX25" s="336"/>
      <c r="AY25" s="336"/>
      <c r="AZ25" s="336"/>
      <c r="BA25" s="9"/>
      <c r="BB25" s="336"/>
      <c r="BC25" s="336"/>
      <c r="BD25" s="336"/>
      <c r="BE25" s="336"/>
      <c r="BF25" s="9"/>
      <c r="BG25" s="336"/>
      <c r="BH25" s="336"/>
      <c r="BI25" s="336"/>
      <c r="BJ25" s="336"/>
      <c r="BK25" s="9">
        <f t="shared" si="1"/>
        <v>0</v>
      </c>
      <c r="BL25" s="336"/>
      <c r="BM25" s="336"/>
      <c r="BN25" s="336"/>
      <c r="BO25" s="336"/>
      <c r="BP25" s="9">
        <f t="shared" si="2"/>
        <v>0</v>
      </c>
    </row>
    <row r="26" spans="2:68" s="32" customFormat="1" ht="12" hidden="1" customHeight="1">
      <c r="B26" s="219"/>
      <c r="C26" s="82" t="s">
        <v>282</v>
      </c>
      <c r="D26" s="8">
        <v>0.26428009661505369</v>
      </c>
      <c r="E26" s="8">
        <v>0.24801114189075438</v>
      </c>
      <c r="F26" s="8">
        <v>0.21315091225462543</v>
      </c>
      <c r="G26" s="10">
        <v>0.18326031952577171</v>
      </c>
      <c r="H26" s="9">
        <v>0.22343965394305271</v>
      </c>
      <c r="I26" s="8">
        <v>0.19235894408366366</v>
      </c>
      <c r="J26" s="8">
        <v>0.19900000000000001</v>
      </c>
      <c r="K26" s="8">
        <v>0.18099999999999999</v>
      </c>
      <c r="L26" s="10">
        <v>0.17299999999999999</v>
      </c>
      <c r="M26" s="9">
        <v>0.187</v>
      </c>
      <c r="N26" s="8">
        <v>0.21</v>
      </c>
      <c r="O26" s="8">
        <v>0.2</v>
      </c>
      <c r="P26" s="8">
        <v>0.184</v>
      </c>
      <c r="Q26" s="10">
        <v>0.17100000000000001</v>
      </c>
      <c r="R26" s="9">
        <v>0.192</v>
      </c>
      <c r="S26" s="8">
        <v>0.21</v>
      </c>
      <c r="T26" s="8">
        <v>0.214</v>
      </c>
      <c r="U26" s="8">
        <v>0.187</v>
      </c>
      <c r="V26" s="8">
        <v>0.19500000000000001</v>
      </c>
      <c r="W26" s="9">
        <v>0.2</v>
      </c>
      <c r="X26" s="8">
        <v>0.23</v>
      </c>
      <c r="Y26" s="8">
        <v>0.222</v>
      </c>
      <c r="Z26" s="8">
        <v>0.19900000000000001</v>
      </c>
      <c r="AA26" s="8">
        <v>0.20399999999999999</v>
      </c>
      <c r="AB26" s="9">
        <v>0.215</v>
      </c>
      <c r="AC26" s="336">
        <v>0.23400000000000001</v>
      </c>
      <c r="AD26" s="336">
        <v>0.217</v>
      </c>
      <c r="AE26" s="336">
        <v>0.19600000000000001</v>
      </c>
      <c r="AF26" s="336">
        <v>0.20699999999999999</v>
      </c>
      <c r="AG26" s="9">
        <v>0.214</v>
      </c>
      <c r="AH26" s="336" t="s">
        <v>266</v>
      </c>
      <c r="AI26" s="336"/>
      <c r="AJ26" s="336"/>
      <c r="AK26" s="336"/>
      <c r="AL26" s="9"/>
      <c r="AM26" s="336"/>
      <c r="AN26" s="336"/>
      <c r="AO26" s="336"/>
      <c r="AP26" s="336"/>
      <c r="AQ26" s="9"/>
      <c r="AR26" s="336"/>
      <c r="AS26" s="336"/>
      <c r="AT26" s="336"/>
      <c r="AU26" s="336"/>
      <c r="AV26" s="9"/>
      <c r="AW26" s="336"/>
      <c r="AX26" s="336"/>
      <c r="AY26" s="336"/>
      <c r="AZ26" s="336"/>
      <c r="BA26" s="9"/>
      <c r="BB26" s="336"/>
      <c r="BC26" s="336"/>
      <c r="BD26" s="336"/>
      <c r="BE26" s="336"/>
      <c r="BF26" s="9"/>
      <c r="BG26" s="336"/>
      <c r="BH26" s="336"/>
      <c r="BI26" s="336"/>
      <c r="BJ26" s="336"/>
      <c r="BK26" s="9">
        <f t="shared" si="1"/>
        <v>0</v>
      </c>
      <c r="BL26" s="336"/>
      <c r="BM26" s="336"/>
      <c r="BN26" s="336"/>
      <c r="BO26" s="336"/>
      <c r="BP26" s="9">
        <f t="shared" si="2"/>
        <v>0</v>
      </c>
    </row>
    <row r="27" spans="2:68" s="32" customFormat="1" ht="12" hidden="1" customHeight="1">
      <c r="B27" s="219"/>
      <c r="C27" s="82" t="s">
        <v>283</v>
      </c>
      <c r="D27" s="8"/>
      <c r="E27" s="8"/>
      <c r="F27" s="8"/>
      <c r="G27" s="10"/>
      <c r="H27" s="9"/>
      <c r="I27" s="8"/>
      <c r="J27" s="8"/>
      <c r="K27" s="8"/>
      <c r="L27" s="10"/>
      <c r="M27" s="9"/>
      <c r="N27" s="8"/>
      <c r="O27" s="8"/>
      <c r="P27" s="8"/>
      <c r="Q27" s="10"/>
      <c r="R27" s="9"/>
      <c r="S27" s="8"/>
      <c r="T27" s="8"/>
      <c r="U27" s="8"/>
      <c r="V27" s="8"/>
      <c r="W27" s="9"/>
      <c r="X27" s="8"/>
      <c r="Y27" s="8"/>
      <c r="Z27" s="8"/>
      <c r="AA27" s="8"/>
      <c r="AB27" s="9">
        <v>0.187</v>
      </c>
      <c r="AC27" s="336">
        <v>0.20200000000000001</v>
      </c>
      <c r="AD27" s="336">
        <v>0.183</v>
      </c>
      <c r="AE27" s="336">
        <v>0.158</v>
      </c>
      <c r="AF27" s="336">
        <v>0.153</v>
      </c>
      <c r="AG27" s="9">
        <v>0.17399999999999999</v>
      </c>
      <c r="AH27" s="336">
        <v>0.11700000000000001</v>
      </c>
      <c r="AI27" s="336">
        <v>7.8E-2</v>
      </c>
      <c r="AJ27" s="336">
        <v>0.1</v>
      </c>
      <c r="AK27" s="336">
        <v>0.152</v>
      </c>
      <c r="AL27" s="9">
        <v>0.109</v>
      </c>
      <c r="AM27" s="337" t="s">
        <v>266</v>
      </c>
      <c r="AO27" s="336"/>
      <c r="AP27" s="336"/>
      <c r="AQ27" s="9"/>
      <c r="AR27" s="337"/>
      <c r="AT27" s="336"/>
      <c r="AU27" s="336"/>
      <c r="AV27" s="9"/>
      <c r="AW27" s="337"/>
      <c r="AY27" s="336"/>
      <c r="AZ27" s="336"/>
      <c r="BA27" s="9"/>
      <c r="BB27" s="337"/>
      <c r="BD27" s="336"/>
      <c r="BE27" s="336"/>
      <c r="BF27" s="9"/>
      <c r="BG27" s="337"/>
      <c r="BH27" s="46"/>
      <c r="BI27" s="336"/>
      <c r="BJ27" s="336"/>
      <c r="BK27" s="9">
        <f t="shared" si="1"/>
        <v>0</v>
      </c>
      <c r="BL27" s="337"/>
      <c r="BM27" s="46"/>
      <c r="BN27" s="336"/>
      <c r="BO27" s="336"/>
      <c r="BP27" s="9">
        <f t="shared" si="2"/>
        <v>0</v>
      </c>
    </row>
    <row r="28" spans="2:68" s="32" customFormat="1">
      <c r="B28" s="219"/>
      <c r="C28" s="82" t="s">
        <v>284</v>
      </c>
      <c r="D28" s="8"/>
      <c r="E28" s="8"/>
      <c r="F28" s="8"/>
      <c r="G28" s="10"/>
      <c r="H28" s="9"/>
      <c r="I28" s="8"/>
      <c r="J28" s="8"/>
      <c r="K28" s="8"/>
      <c r="L28" s="10"/>
      <c r="M28" s="9"/>
      <c r="N28" s="8"/>
      <c r="O28" s="8"/>
      <c r="P28" s="8"/>
      <c r="Q28" s="10"/>
      <c r="R28" s="9"/>
      <c r="S28" s="8"/>
      <c r="T28" s="8"/>
      <c r="U28" s="8"/>
      <c r="V28" s="8"/>
      <c r="W28" s="9"/>
      <c r="X28" s="8"/>
      <c r="Y28" s="8"/>
      <c r="Z28" s="8"/>
      <c r="AA28" s="8"/>
      <c r="AB28" s="9"/>
      <c r="AC28" s="336">
        <v>0.189</v>
      </c>
      <c r="AD28" s="336">
        <v>0.183</v>
      </c>
      <c r="AE28" s="336">
        <v>0.17699999999999999</v>
      </c>
      <c r="AF28" s="336">
        <v>0.17399999999999999</v>
      </c>
      <c r="AG28" s="9">
        <v>0.17399999999999999</v>
      </c>
      <c r="AH28" s="336">
        <v>0.156</v>
      </c>
      <c r="AI28" s="336">
        <v>0.128</v>
      </c>
      <c r="AJ28" s="336">
        <v>0.11</v>
      </c>
      <c r="AK28" s="336">
        <v>0.109</v>
      </c>
      <c r="AL28" s="9">
        <v>0.109</v>
      </c>
      <c r="AM28" s="336">
        <v>0.13900000000000001</v>
      </c>
      <c r="AN28" s="336">
        <v>0.20100000000000001</v>
      </c>
      <c r="AO28" s="336">
        <v>0.255</v>
      </c>
      <c r="AP28" s="336">
        <v>0.27700000000000002</v>
      </c>
      <c r="AQ28" s="9">
        <v>0.27700000000000002</v>
      </c>
      <c r="AR28" s="336">
        <v>0.28399999999999997</v>
      </c>
      <c r="AS28" s="336">
        <v>0.27100000000000002</v>
      </c>
      <c r="AT28" s="336">
        <v>0.24299999999999999</v>
      </c>
      <c r="AU28" s="336">
        <v>0.20899999999999999</v>
      </c>
      <c r="AV28" s="9">
        <v>0.20899999999999999</v>
      </c>
      <c r="AW28" s="336">
        <v>0.17299999999999999</v>
      </c>
      <c r="AX28" s="336">
        <v>0.14599999999999999</v>
      </c>
      <c r="AY28" s="336">
        <v>0.129</v>
      </c>
      <c r="AZ28" s="336">
        <v>0.126</v>
      </c>
      <c r="BA28" s="9">
        <f>AZ28</f>
        <v>0.126</v>
      </c>
      <c r="BB28" s="336">
        <v>0.127</v>
      </c>
      <c r="BC28" s="336">
        <v>0.129</v>
      </c>
      <c r="BD28" s="336">
        <v>0.13700000000000001</v>
      </c>
      <c r="BE28" s="336">
        <v>0.14099999999999999</v>
      </c>
      <c r="BF28" s="9">
        <f>BE28</f>
        <v>0.14099999999999999</v>
      </c>
      <c r="BG28" s="336">
        <v>0.14399999999999999</v>
      </c>
      <c r="BH28" s="336">
        <v>0.14299999999999999</v>
      </c>
      <c r="BI28" s="336">
        <v>0.123</v>
      </c>
      <c r="BJ28" s="336">
        <v>0.126</v>
      </c>
      <c r="BK28" s="9">
        <f>BJ28</f>
        <v>0.126</v>
      </c>
      <c r="BL28" s="336">
        <v>0.13</v>
      </c>
      <c r="BM28" s="336">
        <v>0.127</v>
      </c>
      <c r="BN28" s="336"/>
      <c r="BO28" s="336"/>
      <c r="BP28" s="9">
        <f t="shared" si="2"/>
        <v>0.127</v>
      </c>
    </row>
    <row r="29" spans="2:68">
      <c r="B29" s="218"/>
      <c r="C29" s="3"/>
      <c r="G29" s="21"/>
      <c r="H29" s="28"/>
      <c r="L29" s="21"/>
      <c r="M29" s="28"/>
      <c r="Q29" s="21"/>
      <c r="R29" s="28"/>
      <c r="W29" s="28"/>
      <c r="AB29" s="28"/>
      <c r="AC29" s="335"/>
      <c r="AD29" s="335"/>
      <c r="AE29" s="335"/>
      <c r="AF29" s="335"/>
      <c r="AG29" s="28"/>
      <c r="AH29" s="335"/>
      <c r="AI29" s="335"/>
      <c r="AJ29" s="335"/>
      <c r="AK29" s="335"/>
      <c r="AL29" s="28"/>
      <c r="AM29" s="335"/>
      <c r="AN29" s="335"/>
      <c r="AO29" s="335"/>
      <c r="AP29" s="335"/>
      <c r="AQ29" s="28"/>
      <c r="AR29" s="335"/>
      <c r="AS29" s="335"/>
      <c r="AT29" s="335"/>
      <c r="AU29" s="335"/>
      <c r="AV29" s="28"/>
      <c r="AW29" s="335"/>
      <c r="AX29" s="335"/>
      <c r="AY29" s="335"/>
      <c r="AZ29" s="335"/>
      <c r="BA29" s="28"/>
      <c r="BB29" s="335"/>
      <c r="BC29" s="335"/>
      <c r="BD29" s="335"/>
      <c r="BE29" s="335"/>
      <c r="BF29" s="28"/>
      <c r="BG29" s="335"/>
      <c r="BH29" s="335"/>
      <c r="BI29" s="335"/>
      <c r="BJ29" s="335"/>
      <c r="BK29" s="28"/>
      <c r="BL29" s="335"/>
      <c r="BM29" s="335"/>
      <c r="BN29" s="335"/>
      <c r="BO29" s="335"/>
      <c r="BP29" s="28"/>
    </row>
    <row r="30" spans="2:68">
      <c r="B30" s="218">
        <v>2</v>
      </c>
      <c r="C30" s="33" t="s">
        <v>285</v>
      </c>
      <c r="G30" s="21"/>
      <c r="H30" s="28"/>
      <c r="L30" s="21"/>
      <c r="M30" s="28"/>
      <c r="Q30" s="21"/>
      <c r="R30" s="28"/>
      <c r="W30" s="28"/>
      <c r="AB30" s="28"/>
      <c r="AC30" s="335"/>
      <c r="AD30" s="335"/>
      <c r="AE30" s="335"/>
      <c r="AF30" s="335"/>
      <c r="AG30" s="28"/>
      <c r="AH30" s="335"/>
      <c r="AI30" s="335"/>
      <c r="AJ30" s="335"/>
      <c r="AK30" s="335"/>
      <c r="AL30" s="28"/>
      <c r="AM30" s="335"/>
      <c r="AN30" s="335"/>
      <c r="AO30" s="335"/>
      <c r="AP30" s="335"/>
      <c r="AQ30" s="28"/>
      <c r="AR30" s="335"/>
      <c r="AS30" s="335"/>
      <c r="AT30" s="335"/>
      <c r="AU30" s="335"/>
      <c r="AV30" s="28"/>
      <c r="AW30" s="335"/>
      <c r="AX30" s="335"/>
      <c r="AY30" s="335"/>
      <c r="AZ30" s="335"/>
      <c r="BA30" s="28"/>
      <c r="BB30" s="335"/>
      <c r="BC30" s="335"/>
      <c r="BD30" s="335"/>
      <c r="BE30" s="335"/>
      <c r="BF30" s="28"/>
      <c r="BG30" s="335"/>
      <c r="BH30" s="335"/>
      <c r="BI30" s="335"/>
      <c r="BJ30" s="335"/>
      <c r="BK30" s="28"/>
      <c r="BL30" s="335"/>
      <c r="BM30" s="335"/>
      <c r="BN30" s="335"/>
      <c r="BO30" s="335"/>
      <c r="BP30" s="28"/>
    </row>
    <row r="31" spans="2:68">
      <c r="B31" s="218"/>
      <c r="C31" s="35" t="s">
        <v>286</v>
      </c>
      <c r="D31" s="8">
        <v>0.29199999999999998</v>
      </c>
      <c r="E31" s="8">
        <v>0.28699999999999998</v>
      </c>
      <c r="F31" s="8">
        <v>0.28499999999999998</v>
      </c>
      <c r="G31" s="10">
        <v>0.28899999999999998</v>
      </c>
      <c r="H31" s="9">
        <v>0.28799999999999998</v>
      </c>
      <c r="I31" s="8">
        <v>0.29199999999999998</v>
      </c>
      <c r="J31" s="8">
        <v>0.29199999999999998</v>
      </c>
      <c r="K31" s="8">
        <v>0.29499999999999998</v>
      </c>
      <c r="L31" s="10">
        <v>0.29599999999999999</v>
      </c>
      <c r="M31" s="9">
        <v>0.29399999999999998</v>
      </c>
      <c r="N31" s="8">
        <v>0.29899999999999999</v>
      </c>
      <c r="O31" s="8">
        <v>0.29699999999999999</v>
      </c>
      <c r="P31" s="8">
        <v>0.29799999999999999</v>
      </c>
      <c r="Q31" s="10">
        <v>0.3</v>
      </c>
      <c r="R31" s="9">
        <v>0.29799999999999999</v>
      </c>
      <c r="S31" s="8">
        <v>0.30099999999999999</v>
      </c>
      <c r="T31" s="8">
        <v>0.29399999999999998</v>
      </c>
      <c r="U31" s="8">
        <v>0.28999999999999998</v>
      </c>
      <c r="V31" s="8">
        <v>0.28699999999999998</v>
      </c>
      <c r="W31" s="9">
        <v>0.29299999999999998</v>
      </c>
      <c r="X31" s="8">
        <v>0.28599999999999998</v>
      </c>
      <c r="Y31" s="8">
        <v>0.28399999999999997</v>
      </c>
      <c r="Z31" s="8">
        <v>0.28699999999999998</v>
      </c>
      <c r="AA31" s="8">
        <v>0.28699999999999998</v>
      </c>
      <c r="AB31" s="9">
        <v>0.28599999999999998</v>
      </c>
      <c r="AC31" s="336">
        <v>0.28699999999999998</v>
      </c>
      <c r="AD31" s="336">
        <v>0.28199999999999997</v>
      </c>
      <c r="AE31" s="336">
        <v>0.27700000000000002</v>
      </c>
      <c r="AF31" s="336">
        <v>0.27600000000000002</v>
      </c>
      <c r="AG31" s="9">
        <v>0.28100000000000003</v>
      </c>
      <c r="AH31" s="336">
        <v>0.28000000000000003</v>
      </c>
      <c r="AI31" s="336">
        <v>0.26100000000000001</v>
      </c>
      <c r="AJ31" s="336">
        <v>0.252</v>
      </c>
      <c r="AK31" s="336">
        <v>0.24299999999999999</v>
      </c>
      <c r="AL31" s="9">
        <v>0.25800000000000001</v>
      </c>
      <c r="AM31" s="336">
        <v>0.24099999999999999</v>
      </c>
      <c r="AN31" s="336">
        <v>0.23599999999999999</v>
      </c>
      <c r="AO31" s="336">
        <v>0.23799999999999999</v>
      </c>
      <c r="AP31" s="336">
        <v>0.24</v>
      </c>
      <c r="AQ31" s="9">
        <v>0.23799999999999999</v>
      </c>
      <c r="AR31" s="336">
        <v>0.24299999999999999</v>
      </c>
      <c r="AS31" s="336">
        <v>0.24399999999999999</v>
      </c>
      <c r="AT31" s="336">
        <v>0.245</v>
      </c>
      <c r="AU31" s="336">
        <v>0.246</v>
      </c>
      <c r="AV31" s="9">
        <v>0.24399999999999999</v>
      </c>
      <c r="AW31" s="336">
        <v>0.247</v>
      </c>
      <c r="AX31" s="336">
        <v>0.246</v>
      </c>
      <c r="AY31" s="336">
        <v>0.24399999999999999</v>
      </c>
      <c r="AZ31" s="336">
        <v>0.24199999999999999</v>
      </c>
      <c r="BA31" s="9">
        <v>0.245</v>
      </c>
      <c r="BB31" s="336">
        <v>0.23899999999999999</v>
      </c>
      <c r="BC31" s="336">
        <v>0.24099999999999999</v>
      </c>
      <c r="BD31" s="336">
        <v>0.24</v>
      </c>
      <c r="BE31" s="336">
        <v>0.23599999999999999</v>
      </c>
      <c r="BF31" s="9">
        <v>0.23899999999999999</v>
      </c>
      <c r="BG31" s="336">
        <v>0.23599999999999999</v>
      </c>
      <c r="BH31" s="336">
        <v>0.23200000000000001</v>
      </c>
      <c r="BI31" s="336">
        <v>0.23100000000000001</v>
      </c>
      <c r="BJ31" s="336">
        <v>0.22800000000000001</v>
      </c>
      <c r="BK31" s="9">
        <v>0.23200000000000001</v>
      </c>
      <c r="BL31" s="336">
        <v>0.22800000000000001</v>
      </c>
      <c r="BM31" s="336">
        <v>0.22600000000000001</v>
      </c>
      <c r="BN31" s="336"/>
      <c r="BO31" s="336"/>
      <c r="BP31" s="9">
        <v>0.22700000000000001</v>
      </c>
    </row>
    <row r="32" spans="2:68">
      <c r="B32" s="218"/>
      <c r="C32" s="35" t="s">
        <v>287</v>
      </c>
      <c r="D32" s="8">
        <v>0.70799999999999996</v>
      </c>
      <c r="E32" s="8">
        <v>0.71299999999999997</v>
      </c>
      <c r="F32" s="8">
        <v>0.71499999999999997</v>
      </c>
      <c r="G32" s="10">
        <v>0.71099999999999997</v>
      </c>
      <c r="H32" s="9">
        <v>0.71199999999999997</v>
      </c>
      <c r="I32" s="8">
        <v>0.70799999999999996</v>
      </c>
      <c r="J32" s="8">
        <v>0.70799999999999996</v>
      </c>
      <c r="K32" s="8">
        <v>0.70499999999999996</v>
      </c>
      <c r="L32" s="10">
        <v>0.70399999999999996</v>
      </c>
      <c r="M32" s="9">
        <v>0.70599999999999996</v>
      </c>
      <c r="N32" s="8">
        <v>0.70099999999999996</v>
      </c>
      <c r="O32" s="8">
        <v>0.70299999999999996</v>
      </c>
      <c r="P32" s="8">
        <v>0.70199999999999996</v>
      </c>
      <c r="Q32" s="10">
        <v>0.7</v>
      </c>
      <c r="R32" s="9">
        <v>0.70199999999999996</v>
      </c>
      <c r="S32" s="8">
        <v>0.69899999999999995</v>
      </c>
      <c r="T32" s="8">
        <v>0.70599999999999996</v>
      </c>
      <c r="U32" s="8">
        <v>0.71</v>
      </c>
      <c r="V32" s="8">
        <v>0.71299999999999997</v>
      </c>
      <c r="W32" s="9">
        <v>0.70699999999999996</v>
      </c>
      <c r="X32" s="8">
        <v>0.71399999999999997</v>
      </c>
      <c r="Y32" s="8">
        <v>0.71599999999999997</v>
      </c>
      <c r="Z32" s="8">
        <v>0.71299999999999997</v>
      </c>
      <c r="AA32" s="8">
        <v>0.71299999999999997</v>
      </c>
      <c r="AB32" s="9">
        <v>0.71399999999999997</v>
      </c>
      <c r="AC32" s="336">
        <v>0.71299999999999997</v>
      </c>
      <c r="AD32" s="336">
        <f>1-AD31</f>
        <v>0.71799999999999997</v>
      </c>
      <c r="AE32" s="336">
        <f>1-AE31</f>
        <v>0.72299999999999998</v>
      </c>
      <c r="AF32" s="336">
        <v>0.72399999999999998</v>
      </c>
      <c r="AG32" s="9">
        <v>0.71899999999999997</v>
      </c>
      <c r="AH32" s="336">
        <v>0.72</v>
      </c>
      <c r="AI32" s="336">
        <v>0.73899999999999999</v>
      </c>
      <c r="AJ32" s="336">
        <v>0.748</v>
      </c>
      <c r="AK32" s="336">
        <v>0.75700000000000001</v>
      </c>
      <c r="AL32" s="9">
        <v>0.74199999999999999</v>
      </c>
      <c r="AM32" s="336">
        <v>0.75900000000000001</v>
      </c>
      <c r="AN32" s="336">
        <v>0.76400000000000001</v>
      </c>
      <c r="AO32" s="336">
        <v>0.76200000000000001</v>
      </c>
      <c r="AP32" s="336">
        <v>0.76</v>
      </c>
      <c r="AQ32" s="9">
        <v>0.76200000000000001</v>
      </c>
      <c r="AR32" s="336">
        <v>0.75700000000000001</v>
      </c>
      <c r="AS32" s="336">
        <v>0.75600000000000001</v>
      </c>
      <c r="AT32" s="336">
        <v>0.755</v>
      </c>
      <c r="AU32" s="336">
        <v>0.754</v>
      </c>
      <c r="AV32" s="9">
        <v>0.75600000000000001</v>
      </c>
      <c r="AW32" s="336">
        <v>0.753</v>
      </c>
      <c r="AX32" s="336">
        <v>0.754</v>
      </c>
      <c r="AY32" s="336">
        <v>0.75600000000000001</v>
      </c>
      <c r="AZ32" s="336">
        <v>0.75800000000000001</v>
      </c>
      <c r="BA32" s="9">
        <v>0.755</v>
      </c>
      <c r="BB32" s="336">
        <v>0.76100000000000001</v>
      </c>
      <c r="BC32" s="336">
        <v>0.75900000000000001</v>
      </c>
      <c r="BD32" s="336">
        <v>0.76</v>
      </c>
      <c r="BE32" s="336">
        <v>0.76400000000000001</v>
      </c>
      <c r="BF32" s="9">
        <v>0.76100000000000001</v>
      </c>
      <c r="BG32" s="336">
        <v>0.76400000000000001</v>
      </c>
      <c r="BH32" s="336">
        <v>0.76800000000000002</v>
      </c>
      <c r="BI32" s="336">
        <v>0.76900000000000002</v>
      </c>
      <c r="BJ32" s="336">
        <v>0.77200000000000002</v>
      </c>
      <c r="BK32" s="9">
        <v>0.76800000000000002</v>
      </c>
      <c r="BL32" s="336">
        <v>0.77200000000000002</v>
      </c>
      <c r="BM32" s="336">
        <v>0.77400000000000002</v>
      </c>
      <c r="BN32" s="336"/>
      <c r="BO32" s="336"/>
      <c r="BP32" s="9">
        <v>0.77300000000000002</v>
      </c>
    </row>
    <row r="33" spans="2:68">
      <c r="B33" s="218"/>
      <c r="C33" s="35"/>
      <c r="G33" s="21"/>
      <c r="H33" s="28"/>
      <c r="L33" s="21"/>
      <c r="M33" s="28"/>
      <c r="Q33" s="21"/>
      <c r="R33" s="28"/>
      <c r="W33" s="28"/>
      <c r="AB33" s="28"/>
      <c r="AC33" s="335"/>
      <c r="AD33" s="335"/>
      <c r="AE33" s="335"/>
      <c r="AF33" s="335"/>
      <c r="AG33" s="28"/>
      <c r="AH33" s="335"/>
      <c r="AI33" s="335"/>
      <c r="AJ33" s="335"/>
      <c r="AK33" s="335"/>
      <c r="AL33" s="28"/>
      <c r="AM33" s="335"/>
      <c r="AN33" s="335"/>
      <c r="AO33" s="335"/>
      <c r="AP33" s="335"/>
      <c r="AQ33" s="28"/>
      <c r="AR33" s="335"/>
      <c r="AS33" s="335"/>
      <c r="AT33" s="335"/>
      <c r="AU33" s="335"/>
      <c r="AV33" s="28"/>
      <c r="AW33" s="335"/>
      <c r="AX33" s="335"/>
      <c r="AY33" s="335"/>
      <c r="AZ33" s="335"/>
      <c r="BA33" s="28"/>
      <c r="BB33" s="335"/>
      <c r="BC33" s="335"/>
      <c r="BD33" s="335"/>
      <c r="BE33" s="335"/>
      <c r="BF33" s="28"/>
      <c r="BG33" s="335"/>
      <c r="BH33" s="335"/>
      <c r="BI33" s="335"/>
      <c r="BJ33" s="335"/>
      <c r="BK33" s="28"/>
      <c r="BL33" s="335"/>
      <c r="BM33" s="335"/>
      <c r="BN33" s="335"/>
      <c r="BO33" s="335"/>
      <c r="BP33" s="28"/>
    </row>
    <row r="34" spans="2:68">
      <c r="B34" s="218">
        <v>3</v>
      </c>
      <c r="C34" s="289" t="s">
        <v>288</v>
      </c>
      <c r="G34" s="21"/>
      <c r="H34" s="28"/>
      <c r="L34" s="21"/>
      <c r="M34" s="28"/>
      <c r="Q34" s="21"/>
      <c r="R34" s="28"/>
      <c r="W34" s="28"/>
      <c r="AB34" s="28"/>
      <c r="AC34" s="335"/>
      <c r="AD34" s="335"/>
      <c r="AE34" s="335"/>
      <c r="AF34" s="335"/>
      <c r="AG34" s="28"/>
      <c r="AH34" s="335"/>
      <c r="AI34" s="335"/>
      <c r="AJ34" s="335"/>
      <c r="AK34" s="335"/>
      <c r="AL34" s="28"/>
      <c r="AM34" s="335"/>
      <c r="AN34" s="335"/>
      <c r="AO34" s="335"/>
      <c r="AP34" s="335"/>
      <c r="AQ34" s="28"/>
      <c r="AR34" s="335"/>
      <c r="AS34" s="335"/>
      <c r="AT34" s="335"/>
      <c r="AU34" s="335"/>
      <c r="AV34" s="28"/>
      <c r="AW34" s="335"/>
      <c r="AX34" s="335"/>
      <c r="AY34" s="335"/>
      <c r="AZ34" s="335"/>
      <c r="BA34" s="28"/>
      <c r="BB34" s="335"/>
      <c r="BC34" s="335"/>
      <c r="BD34" s="335"/>
      <c r="BE34" s="335"/>
      <c r="BF34" s="28"/>
      <c r="BG34" s="335"/>
      <c r="BH34" s="335"/>
      <c r="BI34" s="335"/>
      <c r="BJ34" s="335"/>
      <c r="BK34" s="28"/>
      <c r="BL34" s="335"/>
      <c r="BM34" s="335"/>
      <c r="BN34" s="335"/>
      <c r="BO34" s="335"/>
      <c r="BP34" s="28"/>
    </row>
    <row r="35" spans="2:68">
      <c r="B35" s="218"/>
      <c r="C35" s="35" t="s">
        <v>289</v>
      </c>
      <c r="D35" s="8">
        <v>0.748</v>
      </c>
      <c r="E35" s="8">
        <v>0.752</v>
      </c>
      <c r="F35" s="8">
        <v>0.75700000000000001</v>
      </c>
      <c r="G35" s="10">
        <v>0.72799999999999998</v>
      </c>
      <c r="H35" s="9">
        <v>0.746</v>
      </c>
      <c r="I35" s="8">
        <v>0.75700000000000001</v>
      </c>
      <c r="J35" s="8">
        <v>0.754</v>
      </c>
      <c r="K35" s="8">
        <v>0.74199999999999999</v>
      </c>
      <c r="L35" s="10">
        <v>0.747</v>
      </c>
      <c r="M35" s="9">
        <v>0.75</v>
      </c>
      <c r="N35" s="8">
        <v>0.76500000000000001</v>
      </c>
      <c r="O35" s="8">
        <v>0.77700000000000002</v>
      </c>
      <c r="P35" s="8">
        <v>0.77800000000000002</v>
      </c>
      <c r="Q35" s="10">
        <v>0.78200000000000003</v>
      </c>
      <c r="R35" s="9">
        <v>0.77600000000000002</v>
      </c>
      <c r="S35" s="8">
        <v>0.80200000000000005</v>
      </c>
      <c r="T35" s="8">
        <v>0.81799999999999995</v>
      </c>
      <c r="U35" s="8">
        <v>0.82099999999999995</v>
      </c>
      <c r="V35" s="8">
        <v>0.80800000000000005</v>
      </c>
      <c r="W35" s="9">
        <v>0.81200000000000006</v>
      </c>
      <c r="X35" s="8">
        <v>0.81499999999999995</v>
      </c>
      <c r="Y35" s="8">
        <v>0.80200000000000005</v>
      </c>
      <c r="Z35" s="8">
        <v>0.79800000000000004</v>
      </c>
      <c r="AA35" s="8">
        <v>0.78900000000000003</v>
      </c>
      <c r="AB35" s="9">
        <v>0.80100000000000005</v>
      </c>
      <c r="AC35" s="336">
        <v>0.80300000000000005</v>
      </c>
      <c r="AD35" s="336">
        <v>0.81599999999999995</v>
      </c>
      <c r="AE35" s="336">
        <v>0.80400000000000005</v>
      </c>
      <c r="AF35" s="336">
        <v>0.79</v>
      </c>
      <c r="AG35" s="9">
        <v>0.80300000000000005</v>
      </c>
      <c r="AH35" s="336">
        <v>0.78200000000000003</v>
      </c>
      <c r="AI35" s="336">
        <v>0.80600000000000005</v>
      </c>
      <c r="AJ35" s="336">
        <v>0.82299999999999995</v>
      </c>
      <c r="AK35" s="336">
        <v>0.82199999999999995</v>
      </c>
      <c r="AL35" s="9">
        <v>0.80800000000000005</v>
      </c>
      <c r="AM35" s="336">
        <v>0.83299999999999996</v>
      </c>
      <c r="AN35" s="336">
        <v>0.84099999999999997</v>
      </c>
      <c r="AO35" s="336">
        <v>0.82699999999999996</v>
      </c>
      <c r="AP35" s="8">
        <v>0.8</v>
      </c>
      <c r="AQ35" s="9">
        <v>0.82399999999999995</v>
      </c>
      <c r="AR35" s="336">
        <v>0.77600000000000002</v>
      </c>
      <c r="AS35" s="336">
        <v>0.76600000000000001</v>
      </c>
      <c r="AT35" s="336">
        <v>0.77100000000000002</v>
      </c>
      <c r="AU35" s="8">
        <v>0.76900000000000002</v>
      </c>
      <c r="AV35" s="9">
        <v>0.77100000000000002</v>
      </c>
      <c r="AW35" s="336">
        <v>0.78900000000000003</v>
      </c>
      <c r="AX35" s="336">
        <v>0.80400000000000005</v>
      </c>
      <c r="AY35" s="336">
        <v>0.81699999999999995</v>
      </c>
      <c r="AZ35" s="8">
        <v>0.82</v>
      </c>
      <c r="BA35" s="9">
        <v>0.80700000000000005</v>
      </c>
      <c r="BB35" s="336">
        <v>0.83899999999999997</v>
      </c>
      <c r="BC35" s="336">
        <v>0.84299999999999997</v>
      </c>
      <c r="BD35" s="336">
        <v>0.83399999999999996</v>
      </c>
      <c r="BE35" s="8">
        <v>0.81899999999999995</v>
      </c>
      <c r="BF35" s="9">
        <v>0.83399999999999996</v>
      </c>
      <c r="BG35" s="336">
        <v>0.82699999999999996</v>
      </c>
      <c r="BH35" s="336">
        <v>0.82199999999999995</v>
      </c>
      <c r="BI35" s="336">
        <v>0.8</v>
      </c>
      <c r="BJ35" s="8">
        <v>0.79700000000000004</v>
      </c>
      <c r="BK35" s="9">
        <v>0.81100000000000005</v>
      </c>
      <c r="BL35" s="336">
        <v>0.82099999999999995</v>
      </c>
      <c r="BM35" s="336">
        <v>0.81899999999999995</v>
      </c>
      <c r="BN35" s="336"/>
      <c r="BO35" s="8"/>
      <c r="BP35" s="9">
        <v>0.82</v>
      </c>
    </row>
    <row r="36" spans="2:68">
      <c r="B36" s="218"/>
      <c r="C36" s="35" t="s">
        <v>290</v>
      </c>
      <c r="D36" s="8">
        <v>0.80100000000000005</v>
      </c>
      <c r="E36" s="8">
        <v>0.82299999999999995</v>
      </c>
      <c r="F36" s="8">
        <v>0.82699999999999996</v>
      </c>
      <c r="G36" s="10">
        <v>0.78600000000000003</v>
      </c>
      <c r="H36" s="9">
        <v>0.80900000000000005</v>
      </c>
      <c r="I36" s="8">
        <v>0.80200000000000005</v>
      </c>
      <c r="J36" s="8">
        <v>0.81299999999999994</v>
      </c>
      <c r="K36" s="8">
        <v>0.80600000000000005</v>
      </c>
      <c r="L36" s="10">
        <v>0.80100000000000005</v>
      </c>
      <c r="M36" s="9">
        <v>0.80600000000000005</v>
      </c>
      <c r="N36" s="8">
        <v>0.80500000000000005</v>
      </c>
      <c r="O36" s="8">
        <v>0.82499999999999996</v>
      </c>
      <c r="P36" s="8">
        <v>0.81899999999999995</v>
      </c>
      <c r="Q36" s="10">
        <v>0.82</v>
      </c>
      <c r="R36" s="9">
        <v>0.81699999999999995</v>
      </c>
      <c r="S36" s="8">
        <v>0.84</v>
      </c>
      <c r="T36" s="8">
        <v>0.84699999999999998</v>
      </c>
      <c r="U36" s="8">
        <v>0.84899999999999998</v>
      </c>
      <c r="V36" s="8">
        <v>0.84699999999999998</v>
      </c>
      <c r="W36" s="9">
        <v>0.84599999999999997</v>
      </c>
      <c r="X36" s="8">
        <v>0.85699999999999998</v>
      </c>
      <c r="Y36" s="8">
        <v>0.85599999999999998</v>
      </c>
      <c r="Z36" s="8">
        <v>0.83799999999999997</v>
      </c>
      <c r="AA36" s="8">
        <v>0.82299999999999995</v>
      </c>
      <c r="AB36" s="9">
        <v>0.84299999999999997</v>
      </c>
      <c r="AC36" s="336">
        <v>0.83099999999999996</v>
      </c>
      <c r="AD36" s="336">
        <v>0.84899999999999998</v>
      </c>
      <c r="AE36" s="336">
        <v>0.84399999999999997</v>
      </c>
      <c r="AF36" s="336">
        <v>0.83499999999999996</v>
      </c>
      <c r="AG36" s="9">
        <v>0.84</v>
      </c>
      <c r="AH36" s="336">
        <v>0.81200000000000006</v>
      </c>
      <c r="AI36" s="336">
        <v>0.83599999999999997</v>
      </c>
      <c r="AJ36" s="336">
        <v>0.86299999999999999</v>
      </c>
      <c r="AK36" s="336">
        <v>0.877</v>
      </c>
      <c r="AL36" s="9">
        <v>0.84699999999999998</v>
      </c>
      <c r="AM36" s="336">
        <v>0.88500000000000001</v>
      </c>
      <c r="AN36" s="336">
        <v>0.89200000000000002</v>
      </c>
      <c r="AO36" s="336">
        <v>0.88500000000000001</v>
      </c>
      <c r="AP36" s="336">
        <v>0.87</v>
      </c>
      <c r="AQ36" s="9">
        <v>0.88300000000000001</v>
      </c>
      <c r="AR36" s="336">
        <v>0.84699999999999998</v>
      </c>
      <c r="AS36" s="336">
        <v>0.83599999999999997</v>
      </c>
      <c r="AT36" s="336">
        <v>0.81699999999999995</v>
      </c>
      <c r="AU36" s="336">
        <v>0.8</v>
      </c>
      <c r="AV36" s="9">
        <v>0.82499999999999996</v>
      </c>
      <c r="AW36" s="336">
        <v>0.81100000000000005</v>
      </c>
      <c r="AX36" s="336">
        <v>0.81799999999999995</v>
      </c>
      <c r="AY36" s="336">
        <v>0.82699999999999996</v>
      </c>
      <c r="AZ36" s="336">
        <v>0.83499999999999996</v>
      </c>
      <c r="BA36" s="9">
        <v>0.82199999999999995</v>
      </c>
      <c r="BB36" s="336">
        <v>0.85299999999999998</v>
      </c>
      <c r="BC36" s="336">
        <v>0.85899999999999999</v>
      </c>
      <c r="BD36" s="336">
        <v>0.86</v>
      </c>
      <c r="BE36" s="336">
        <v>0.84899999999999998</v>
      </c>
      <c r="BF36" s="9">
        <v>0.85499999999999998</v>
      </c>
      <c r="BG36" s="336">
        <v>0.85199999999999998</v>
      </c>
      <c r="BH36" s="336">
        <v>0.85099999999999998</v>
      </c>
      <c r="BI36" s="336">
        <v>0.84099999999999997</v>
      </c>
      <c r="BJ36" s="336">
        <v>0.83</v>
      </c>
      <c r="BK36" s="9">
        <v>0.84399999999999997</v>
      </c>
      <c r="BL36" s="336">
        <v>0.84899999999999998</v>
      </c>
      <c r="BM36" s="336">
        <v>0.85399999999999998</v>
      </c>
      <c r="BN36" s="336"/>
      <c r="BO36" s="336"/>
      <c r="BP36" s="9">
        <v>0.85199999999999998</v>
      </c>
    </row>
    <row r="37" spans="2:68" ht="12" hidden="1" customHeight="1">
      <c r="B37" s="218"/>
      <c r="C37" s="35"/>
      <c r="D37" s="8"/>
      <c r="E37" s="8"/>
      <c r="F37" s="8"/>
      <c r="G37" s="10"/>
      <c r="H37" s="9"/>
      <c r="I37" s="8"/>
      <c r="J37" s="8"/>
      <c r="K37" s="8"/>
      <c r="L37" s="10"/>
      <c r="M37" s="9"/>
      <c r="N37" s="8"/>
      <c r="O37" s="8"/>
      <c r="P37" s="8"/>
      <c r="Q37" s="10"/>
      <c r="R37" s="9"/>
      <c r="S37" s="8"/>
      <c r="T37" s="8"/>
      <c r="U37" s="8"/>
      <c r="V37" s="8"/>
      <c r="W37" s="9"/>
      <c r="X37" s="8"/>
      <c r="Y37" s="8"/>
      <c r="Z37" s="8"/>
      <c r="AA37" s="8"/>
      <c r="AB37" s="9"/>
      <c r="AC37" s="336"/>
      <c r="AD37" s="336"/>
      <c r="AE37" s="336"/>
      <c r="AF37" s="336"/>
      <c r="AG37" s="9"/>
      <c r="AH37" s="336"/>
      <c r="AI37" s="336"/>
      <c r="AJ37" s="336"/>
      <c r="AK37" s="336"/>
      <c r="AL37" s="9"/>
      <c r="AM37" s="336"/>
      <c r="AN37" s="336"/>
      <c r="AO37" s="336"/>
      <c r="AP37" s="336"/>
      <c r="AQ37" s="9"/>
      <c r="AR37" s="336"/>
      <c r="AS37" s="336"/>
      <c r="AT37" s="336"/>
      <c r="AU37" s="336"/>
      <c r="AV37" s="9"/>
      <c r="AW37" s="336"/>
      <c r="AX37" s="336"/>
      <c r="AY37" s="336"/>
      <c r="AZ37" s="336"/>
      <c r="BA37" s="9"/>
      <c r="BB37" s="336"/>
      <c r="BC37" s="336"/>
      <c r="BD37" s="336"/>
      <c r="BE37" s="336"/>
      <c r="BF37" s="9"/>
      <c r="BG37" s="336"/>
      <c r="BH37" s="336"/>
      <c r="BI37" s="336"/>
      <c r="BJ37" s="336"/>
      <c r="BK37" s="9"/>
      <c r="BL37" s="336"/>
      <c r="BM37" s="336"/>
      <c r="BN37" s="336"/>
      <c r="BO37" s="336"/>
      <c r="BP37" s="9"/>
    </row>
    <row r="38" spans="2:68" ht="12" hidden="1" customHeight="1">
      <c r="B38" s="218"/>
      <c r="C38" s="34" t="s">
        <v>291</v>
      </c>
      <c r="G38" s="21"/>
      <c r="H38" s="28"/>
      <c r="L38" s="21"/>
      <c r="M38" s="28"/>
      <c r="Q38" s="21"/>
      <c r="R38" s="28"/>
      <c r="W38" s="28"/>
      <c r="AB38" s="28"/>
      <c r="AC38" s="335"/>
      <c r="AD38" s="335"/>
      <c r="AE38" s="335"/>
      <c r="AF38" s="335"/>
      <c r="AG38" s="28"/>
      <c r="AH38" s="335"/>
      <c r="AI38" s="335"/>
      <c r="AJ38" s="335"/>
      <c r="AK38" s="335"/>
      <c r="AL38" s="28"/>
      <c r="AM38" s="335"/>
      <c r="AN38" s="335"/>
      <c r="AO38" s="335"/>
      <c r="AP38" s="335"/>
      <c r="AQ38" s="28"/>
      <c r="AR38" s="335"/>
      <c r="AS38" s="335"/>
      <c r="AT38" s="335"/>
      <c r="AU38" s="335"/>
      <c r="AV38" s="28"/>
      <c r="AW38" s="335"/>
      <c r="AX38" s="335"/>
      <c r="AY38" s="335"/>
      <c r="AZ38" s="335"/>
      <c r="BA38" s="28"/>
      <c r="BB38" s="335"/>
      <c r="BC38" s="335"/>
      <c r="BD38" s="335"/>
      <c r="BE38" s="335"/>
      <c r="BF38" s="28"/>
      <c r="BG38" s="335"/>
      <c r="BH38" s="335"/>
      <c r="BI38" s="335"/>
      <c r="BJ38" s="335"/>
      <c r="BK38" s="28"/>
      <c r="BL38" s="335"/>
      <c r="BM38" s="335"/>
      <c r="BN38" s="335"/>
      <c r="BO38" s="335"/>
      <c r="BP38" s="28"/>
    </row>
    <row r="39" spans="2:68" ht="12" hidden="1" customHeight="1">
      <c r="B39" s="218" t="s">
        <v>292</v>
      </c>
      <c r="C39" s="34" t="s">
        <v>293</v>
      </c>
      <c r="G39" s="21"/>
      <c r="H39" s="28"/>
      <c r="L39" s="21"/>
      <c r="M39" s="28"/>
      <c r="Q39" s="21"/>
      <c r="R39" s="28"/>
      <c r="W39" s="28"/>
      <c r="AB39" s="28"/>
      <c r="AC39" s="335"/>
      <c r="AD39" s="335"/>
      <c r="AE39" s="335"/>
      <c r="AF39" s="335"/>
      <c r="AG39" s="28"/>
      <c r="AH39" s="335"/>
      <c r="AI39" s="335"/>
      <c r="AJ39" s="335"/>
      <c r="AK39" s="335"/>
      <c r="AL39" s="28"/>
      <c r="AM39" s="335"/>
      <c r="AN39" s="335"/>
      <c r="AO39" s="335"/>
      <c r="AP39" s="335"/>
      <c r="AQ39" s="28"/>
      <c r="AR39" s="335"/>
      <c r="AS39" s="335"/>
      <c r="AT39" s="335"/>
      <c r="AU39" s="335"/>
      <c r="AV39" s="28"/>
      <c r="AW39" s="335"/>
      <c r="AX39" s="335"/>
      <c r="AY39" s="335"/>
      <c r="AZ39" s="335"/>
      <c r="BA39" s="28"/>
      <c r="BB39" s="335"/>
      <c r="BC39" s="335"/>
      <c r="BD39" s="335"/>
      <c r="BE39" s="335"/>
      <c r="BF39" s="28"/>
      <c r="BG39" s="335"/>
      <c r="BH39" s="335"/>
      <c r="BI39" s="335"/>
      <c r="BJ39" s="335"/>
      <c r="BK39" s="28"/>
      <c r="BL39" s="335"/>
      <c r="BM39" s="335"/>
      <c r="BN39" s="335"/>
      <c r="BO39" s="335"/>
      <c r="BP39" s="28"/>
    </row>
    <row r="40" spans="2:68" ht="12" hidden="1" customHeight="1">
      <c r="B40" s="218"/>
      <c r="C40" s="35" t="s">
        <v>289</v>
      </c>
      <c r="D40" s="8">
        <v>0.75785937420836369</v>
      </c>
      <c r="E40" s="8">
        <v>0.76200000000000001</v>
      </c>
      <c r="F40" s="8">
        <v>0.76600000000000001</v>
      </c>
      <c r="G40" s="10">
        <v>0.73799999999999999</v>
      </c>
      <c r="H40" s="9">
        <v>0.755</v>
      </c>
      <c r="I40" s="8">
        <v>0.76600000000000001</v>
      </c>
      <c r="J40" s="8">
        <v>0.76300000000000001</v>
      </c>
      <c r="K40" s="8">
        <v>0.751</v>
      </c>
      <c r="L40" s="10">
        <v>0.755</v>
      </c>
      <c r="M40" s="9">
        <v>0.75900000000000001</v>
      </c>
      <c r="N40" s="8">
        <v>0.77192502426024379</v>
      </c>
      <c r="O40" s="8">
        <v>0.78400000000000003</v>
      </c>
      <c r="P40" s="8">
        <v>0.78500000000000003</v>
      </c>
      <c r="Q40" s="10">
        <v>0.78800000000000003</v>
      </c>
      <c r="R40" s="9">
        <v>0.78200000000000003</v>
      </c>
      <c r="S40" s="8">
        <v>0.80800000000000005</v>
      </c>
      <c r="T40" s="8">
        <v>0.82299999999999995</v>
      </c>
      <c r="U40" s="8">
        <v>0.82499999999999996</v>
      </c>
      <c r="V40" s="8">
        <v>0.81299999999999994</v>
      </c>
      <c r="W40" s="9">
        <v>0.81699999999999995</v>
      </c>
      <c r="Y40" s="8"/>
      <c r="Z40" s="8"/>
      <c r="AA40" s="8"/>
      <c r="AB40" s="9"/>
      <c r="AC40" s="335"/>
      <c r="AD40" s="335"/>
      <c r="AE40" s="335"/>
      <c r="AF40" s="335"/>
      <c r="AG40" s="9"/>
      <c r="AH40" s="335"/>
      <c r="AI40" s="335"/>
      <c r="AJ40" s="335"/>
      <c r="AK40" s="335"/>
      <c r="AL40" s="9"/>
      <c r="AM40" s="335"/>
      <c r="AN40" s="335"/>
      <c r="AO40" s="335"/>
      <c r="AP40" s="335"/>
      <c r="AQ40" s="9"/>
      <c r="AR40" s="335"/>
      <c r="AS40" s="335"/>
      <c r="AT40" s="335"/>
      <c r="AU40" s="335"/>
      <c r="AV40" s="9"/>
      <c r="AW40" s="335"/>
      <c r="AX40" s="335"/>
      <c r="AY40" s="335"/>
      <c r="AZ40" s="335"/>
      <c r="BA40" s="9"/>
      <c r="BB40" s="335"/>
      <c r="BC40" s="335"/>
      <c r="BD40" s="335"/>
      <c r="BE40" s="335"/>
      <c r="BF40" s="9"/>
      <c r="BG40" s="335"/>
      <c r="BH40" s="335"/>
      <c r="BI40" s="335"/>
      <c r="BJ40" s="335"/>
      <c r="BK40" s="9"/>
      <c r="BL40" s="335"/>
      <c r="BM40" s="335"/>
      <c r="BN40" s="335"/>
      <c r="BO40" s="335"/>
      <c r="BP40" s="9"/>
    </row>
    <row r="41" spans="2:68" ht="12" hidden="1" customHeight="1">
      <c r="B41" s="218"/>
      <c r="C41" s="35" t="s">
        <v>290</v>
      </c>
      <c r="D41" s="8">
        <v>0.80959199928193881</v>
      </c>
      <c r="E41" s="8">
        <v>0.83</v>
      </c>
      <c r="F41" s="8">
        <v>0.83399999999999996</v>
      </c>
      <c r="G41" s="10">
        <v>0.79300000000000004</v>
      </c>
      <c r="H41" s="9">
        <v>0.81599999999999995</v>
      </c>
      <c r="I41" s="8">
        <v>0.80900000000000005</v>
      </c>
      <c r="J41" s="8">
        <v>0.82</v>
      </c>
      <c r="K41" s="8">
        <v>0.81399999999999995</v>
      </c>
      <c r="L41" s="10">
        <v>0.80800000000000005</v>
      </c>
      <c r="M41" s="9">
        <v>0.81299999999999994</v>
      </c>
      <c r="N41" s="8">
        <v>0.81121722759197501</v>
      </c>
      <c r="O41" s="8">
        <v>0.83099999999999996</v>
      </c>
      <c r="P41" s="8">
        <v>0.82399999999999995</v>
      </c>
      <c r="Q41" s="10">
        <v>0.82599999999999996</v>
      </c>
      <c r="R41" s="9">
        <v>0.82299999999999995</v>
      </c>
      <c r="S41" s="8">
        <v>0.84499999999999997</v>
      </c>
      <c r="T41" s="8">
        <v>0.85099999999999998</v>
      </c>
      <c r="U41" s="8">
        <v>0.85399999999999998</v>
      </c>
      <c r="V41" s="8">
        <v>0.85099999999999998</v>
      </c>
      <c r="W41" s="9">
        <v>0.85</v>
      </c>
      <c r="Y41" s="8"/>
      <c r="Z41" s="8"/>
      <c r="AA41" s="8"/>
      <c r="AB41" s="9"/>
      <c r="AC41" s="335"/>
      <c r="AD41" s="335"/>
      <c r="AE41" s="335"/>
      <c r="AF41" s="335"/>
      <c r="AG41" s="9"/>
      <c r="AH41" s="335"/>
      <c r="AI41" s="335"/>
      <c r="AJ41" s="335"/>
      <c r="AK41" s="335"/>
      <c r="AL41" s="9"/>
      <c r="AM41" s="335"/>
      <c r="AN41" s="335"/>
      <c r="AO41" s="335"/>
      <c r="AP41" s="335"/>
      <c r="AQ41" s="9"/>
      <c r="AR41" s="335"/>
      <c r="AS41" s="335"/>
      <c r="AT41" s="335"/>
      <c r="AU41" s="335"/>
      <c r="AV41" s="9"/>
      <c r="AW41" s="335"/>
      <c r="AX41" s="335"/>
      <c r="AY41" s="335"/>
      <c r="AZ41" s="335"/>
      <c r="BA41" s="9"/>
      <c r="BB41" s="335"/>
      <c r="BC41" s="335"/>
      <c r="BD41" s="335"/>
      <c r="BE41" s="335"/>
      <c r="BF41" s="9"/>
      <c r="BG41" s="335"/>
      <c r="BH41" s="335"/>
      <c r="BI41" s="335"/>
      <c r="BJ41" s="335"/>
      <c r="BK41" s="9"/>
      <c r="BL41" s="335"/>
      <c r="BM41" s="335"/>
      <c r="BN41" s="335"/>
      <c r="BO41" s="335"/>
      <c r="BP41" s="9"/>
    </row>
    <row r="42" spans="2:68">
      <c r="B42" s="218"/>
      <c r="C42" s="35"/>
      <c r="G42" s="21"/>
      <c r="H42" s="28"/>
      <c r="L42" s="21"/>
      <c r="M42" s="28"/>
      <c r="Q42" s="21"/>
      <c r="R42" s="28"/>
      <c r="W42" s="28"/>
      <c r="AB42" s="28"/>
      <c r="AC42" s="335"/>
      <c r="AD42" s="335"/>
      <c r="AE42" s="335"/>
      <c r="AF42" s="335"/>
      <c r="AG42" s="28"/>
      <c r="AH42" s="335"/>
      <c r="AI42" s="335"/>
      <c r="AJ42" s="335"/>
      <c r="AK42" s="335"/>
      <c r="AL42" s="28"/>
      <c r="AM42" s="335"/>
      <c r="AN42" s="335"/>
      <c r="AO42" s="335"/>
      <c r="AP42" s="335"/>
      <c r="AQ42" s="28"/>
      <c r="AR42" s="335"/>
      <c r="AS42" s="335"/>
      <c r="AT42" s="335"/>
      <c r="AU42" s="335"/>
      <c r="AV42" s="28"/>
      <c r="AW42" s="335"/>
      <c r="AX42" s="335"/>
      <c r="AY42" s="335"/>
      <c r="AZ42" s="335"/>
      <c r="BA42" s="28"/>
      <c r="BB42" s="335"/>
      <c r="BC42" s="335"/>
      <c r="BD42" s="335"/>
      <c r="BE42" s="335"/>
      <c r="BF42" s="28"/>
      <c r="BG42" s="335"/>
      <c r="BH42" s="335"/>
      <c r="BI42" s="335"/>
      <c r="BJ42" s="335"/>
      <c r="BK42" s="28"/>
      <c r="BL42" s="335"/>
      <c r="BM42" s="335"/>
      <c r="BN42" s="335"/>
      <c r="BO42" s="335"/>
      <c r="BP42" s="28"/>
    </row>
    <row r="43" spans="2:68">
      <c r="B43" s="218">
        <v>4</v>
      </c>
      <c r="C43" s="36" t="s">
        <v>294</v>
      </c>
      <c r="G43" s="21"/>
      <c r="H43" s="28"/>
      <c r="L43" s="21"/>
      <c r="M43" s="28"/>
      <c r="Q43" s="21"/>
      <c r="R43" s="28"/>
      <c r="W43" s="28"/>
      <c r="AB43" s="28"/>
      <c r="AC43" s="335"/>
      <c r="AD43" s="335"/>
      <c r="AE43" s="335"/>
      <c r="AF43" s="335"/>
      <c r="AG43" s="28"/>
      <c r="AH43" s="335"/>
      <c r="AI43" s="335"/>
      <c r="AJ43" s="335"/>
      <c r="AK43" s="335"/>
      <c r="AL43" s="28"/>
      <c r="AM43" s="335"/>
      <c r="AN43" s="335"/>
      <c r="AO43" s="335"/>
      <c r="AP43" s="335"/>
      <c r="AQ43" s="28"/>
      <c r="AR43" s="335"/>
      <c r="AS43" s="335"/>
      <c r="AT43" s="335"/>
      <c r="AU43" s="335"/>
      <c r="AV43" s="28"/>
      <c r="AW43" s="335"/>
      <c r="AX43" s="335"/>
      <c r="AY43" s="335"/>
      <c r="AZ43" s="335"/>
      <c r="BA43" s="28"/>
      <c r="BB43" s="335"/>
      <c r="BC43" s="335"/>
      <c r="BD43" s="335"/>
      <c r="BE43" s="335"/>
      <c r="BF43" s="28"/>
      <c r="BG43" s="335"/>
      <c r="BH43" s="335"/>
      <c r="BI43" s="335"/>
      <c r="BJ43" s="335"/>
      <c r="BK43" s="28"/>
      <c r="BL43" s="335"/>
      <c r="BM43" s="335"/>
      <c r="BN43" s="335"/>
      <c r="BO43" s="335"/>
      <c r="BP43" s="28"/>
    </row>
    <row r="44" spans="2:68">
      <c r="B44" s="218" t="s">
        <v>295</v>
      </c>
      <c r="C44" s="34" t="s">
        <v>296</v>
      </c>
      <c r="G44" s="21"/>
      <c r="H44" s="28"/>
      <c r="L44" s="21"/>
      <c r="M44" s="28"/>
      <c r="Q44" s="21"/>
      <c r="R44" s="28"/>
      <c r="W44" s="28"/>
      <c r="AB44" s="28"/>
      <c r="AC44" s="335"/>
      <c r="AD44" s="335"/>
      <c r="AE44" s="335"/>
      <c r="AF44" s="335"/>
      <c r="AG44" s="28"/>
      <c r="AH44" s="335"/>
      <c r="AI44" s="335"/>
      <c r="AJ44" s="335"/>
      <c r="AK44" s="335"/>
      <c r="AL44" s="28"/>
      <c r="AM44" s="335"/>
      <c r="AN44" s="335"/>
      <c r="AO44" s="335"/>
      <c r="AP44" s="335"/>
      <c r="AQ44" s="28"/>
      <c r="AR44" s="335"/>
      <c r="AS44" s="335"/>
      <c r="AT44" s="335"/>
      <c r="AU44" s="335"/>
      <c r="AV44" s="28"/>
      <c r="AW44" s="335"/>
      <c r="AX44" s="335"/>
      <c r="AY44" s="335"/>
      <c r="AZ44" s="335"/>
      <c r="BA44" s="28"/>
      <c r="BB44" s="335"/>
      <c r="BC44" s="335"/>
      <c r="BD44" s="335"/>
      <c r="BE44" s="335"/>
      <c r="BF44" s="28"/>
      <c r="BG44" s="335"/>
      <c r="BH44" s="335"/>
      <c r="BI44" s="335"/>
      <c r="BJ44" s="335"/>
      <c r="BK44" s="28"/>
      <c r="BL44" s="335"/>
      <c r="BM44" s="335"/>
      <c r="BN44" s="335"/>
      <c r="BO44" s="335"/>
      <c r="BP44" s="28"/>
    </row>
    <row r="45" spans="2:68">
      <c r="B45" s="218"/>
      <c r="C45" s="35" t="s">
        <v>297</v>
      </c>
      <c r="D45" s="8">
        <v>0.60799999999999998</v>
      </c>
      <c r="E45" s="8">
        <v>0.60799999999999998</v>
      </c>
      <c r="F45" s="8">
        <v>0.61599999999999999</v>
      </c>
      <c r="G45" s="10">
        <v>0.628</v>
      </c>
      <c r="H45" s="9">
        <v>0.61499999999999999</v>
      </c>
      <c r="I45" s="8">
        <v>0.63200000000000001</v>
      </c>
      <c r="J45" s="8">
        <v>0.63300000000000001</v>
      </c>
      <c r="K45" s="8">
        <v>0.625</v>
      </c>
      <c r="L45" s="10">
        <v>0.61899999999999999</v>
      </c>
      <c r="M45" s="9">
        <v>0.627</v>
      </c>
      <c r="N45" s="8">
        <v>0.62</v>
      </c>
      <c r="O45" s="8">
        <v>0.61499999999999999</v>
      </c>
      <c r="P45" s="8">
        <v>0.62</v>
      </c>
      <c r="Q45" s="10">
        <v>0.623</v>
      </c>
      <c r="R45" s="9">
        <v>0.61899999999999999</v>
      </c>
      <c r="S45" s="8">
        <v>0.61099999999999999</v>
      </c>
      <c r="T45" s="8">
        <v>0.60599999999999998</v>
      </c>
      <c r="U45" s="8">
        <v>0.60399999999999998</v>
      </c>
      <c r="V45" s="8">
        <v>0.59399999999999997</v>
      </c>
      <c r="W45" s="9">
        <v>0.60399999999999998</v>
      </c>
      <c r="X45" s="8">
        <v>0.6</v>
      </c>
      <c r="Y45" s="8">
        <v>0.60299999999999998</v>
      </c>
      <c r="Z45" s="8">
        <v>0.60399999999999998</v>
      </c>
      <c r="AA45" s="8">
        <v>0.61199999999999999</v>
      </c>
      <c r="AB45" s="9">
        <v>0.60499999999999998</v>
      </c>
      <c r="AC45" s="336">
        <v>0.61599999999999999</v>
      </c>
      <c r="AD45" s="336">
        <v>0.61399999999999999</v>
      </c>
      <c r="AE45" s="336">
        <v>0.61299999999999999</v>
      </c>
      <c r="AF45" s="336">
        <v>0.61599999999999999</v>
      </c>
      <c r="AG45" s="9">
        <v>0.61499999999999999</v>
      </c>
      <c r="AH45" s="336">
        <v>0.61499999999999999</v>
      </c>
      <c r="AI45" s="336">
        <v>0.60699999999999998</v>
      </c>
      <c r="AJ45" s="336">
        <v>0.61599999999999999</v>
      </c>
      <c r="AK45" s="336">
        <v>0.61599999999999999</v>
      </c>
      <c r="AL45" s="9">
        <v>0.61299999999999999</v>
      </c>
      <c r="AM45" s="336">
        <v>0.61699999999999999</v>
      </c>
      <c r="AN45" s="336">
        <v>0.61899999999999999</v>
      </c>
      <c r="AO45" s="336">
        <v>0.61799999999999999</v>
      </c>
      <c r="AP45" s="336">
        <v>0.61399999999999999</v>
      </c>
      <c r="AQ45" s="9">
        <v>0.61699999999999999</v>
      </c>
      <c r="AR45" s="336">
        <v>0.61799999999999999</v>
      </c>
      <c r="AS45" s="336">
        <v>0.625</v>
      </c>
      <c r="AT45" s="336">
        <v>0.62</v>
      </c>
      <c r="AU45" s="336">
        <v>0.61</v>
      </c>
      <c r="AV45" s="9">
        <v>0.61799999999999999</v>
      </c>
      <c r="AW45" s="336">
        <v>0.60799999999999998</v>
      </c>
      <c r="AX45" s="336">
        <v>0.61099999999999999</v>
      </c>
      <c r="AY45" s="336">
        <v>0.59</v>
      </c>
      <c r="AZ45" s="336">
        <v>0.59599999999999997</v>
      </c>
      <c r="BA45" s="9">
        <v>0.60099999999999998</v>
      </c>
      <c r="BB45" s="336">
        <v>0.58899999999999997</v>
      </c>
      <c r="BC45" s="336">
        <v>0.57399999999999995</v>
      </c>
      <c r="BD45" s="336">
        <v>0.58399999999999996</v>
      </c>
      <c r="BE45" s="336">
        <v>0.57099999999999995</v>
      </c>
      <c r="BF45" s="9">
        <v>0.57899999999999996</v>
      </c>
      <c r="BG45" s="336">
        <v>0.56499999999999995</v>
      </c>
      <c r="BH45" s="336">
        <v>0.56299999999999994</v>
      </c>
      <c r="BI45" s="336">
        <v>0.55900000000000005</v>
      </c>
      <c r="BJ45" s="336">
        <v>0.55700000000000005</v>
      </c>
      <c r="BK45" s="9">
        <v>0.56100000000000005</v>
      </c>
      <c r="BL45" s="336">
        <v>0.56399999999999995</v>
      </c>
      <c r="BM45" s="336">
        <v>0.54600000000000004</v>
      </c>
      <c r="BN45" s="336"/>
      <c r="BO45" s="336"/>
      <c r="BP45" s="9">
        <v>0.55500000000000005</v>
      </c>
    </row>
    <row r="46" spans="2:68">
      <c r="B46" s="218"/>
      <c r="C46" s="35" t="s">
        <v>298</v>
      </c>
      <c r="D46" s="8">
        <v>0.245</v>
      </c>
      <c r="E46" s="8">
        <v>0.247</v>
      </c>
      <c r="F46" s="8">
        <v>0.24</v>
      </c>
      <c r="G46" s="10">
        <v>0.23100000000000001</v>
      </c>
      <c r="H46" s="9">
        <v>0.24099999999999999</v>
      </c>
      <c r="I46" s="8">
        <v>0.224</v>
      </c>
      <c r="J46" s="8">
        <v>0.22900000000000001</v>
      </c>
      <c r="K46" s="8">
        <v>0.23200000000000001</v>
      </c>
      <c r="L46" s="10">
        <v>0.23400000000000001</v>
      </c>
      <c r="M46" s="9">
        <v>0.23</v>
      </c>
      <c r="N46" s="8">
        <v>0.23</v>
      </c>
      <c r="O46" s="8">
        <v>0.22500000000000001</v>
      </c>
      <c r="P46" s="8">
        <v>0.222</v>
      </c>
      <c r="Q46" s="10">
        <v>0.221</v>
      </c>
      <c r="R46" s="9">
        <v>0.22500000000000001</v>
      </c>
      <c r="S46" s="8">
        <v>0.224</v>
      </c>
      <c r="T46" s="8">
        <v>0.23200000000000001</v>
      </c>
      <c r="U46" s="8">
        <v>0.24399999999999999</v>
      </c>
      <c r="V46" s="8">
        <v>0.248</v>
      </c>
      <c r="W46" s="9">
        <v>0.23699999999999999</v>
      </c>
      <c r="X46" s="8">
        <v>0.24299999999999999</v>
      </c>
      <c r="Y46" s="8">
        <v>0.24</v>
      </c>
      <c r="Z46" s="8">
        <v>0.24199999999999999</v>
      </c>
      <c r="AA46" s="8">
        <v>0.24</v>
      </c>
      <c r="AB46" s="9">
        <v>0.24099999999999999</v>
      </c>
      <c r="AC46" s="336">
        <v>0.23599999999999999</v>
      </c>
      <c r="AD46" s="336">
        <v>0.24099999999999999</v>
      </c>
      <c r="AE46" s="336">
        <v>0.24399999999999999</v>
      </c>
      <c r="AF46" s="336">
        <v>0.24399999999999999</v>
      </c>
      <c r="AG46" s="9">
        <v>0.24099999999999999</v>
      </c>
      <c r="AH46" s="336">
        <v>0.24</v>
      </c>
      <c r="AI46" s="336">
        <v>0.24299999999999999</v>
      </c>
      <c r="AJ46" s="336">
        <v>0.24</v>
      </c>
      <c r="AK46" s="336">
        <v>0.24399999999999999</v>
      </c>
      <c r="AL46" s="9">
        <v>0.24199999999999999</v>
      </c>
      <c r="AM46" s="336">
        <v>0.24199999999999999</v>
      </c>
      <c r="AN46" s="336">
        <v>0.248</v>
      </c>
      <c r="AO46" s="336">
        <v>0.249</v>
      </c>
      <c r="AP46" s="336">
        <v>0.252</v>
      </c>
      <c r="AQ46" s="9">
        <v>0.248</v>
      </c>
      <c r="AR46" s="336">
        <v>0.25</v>
      </c>
      <c r="AS46" s="336">
        <v>0.247</v>
      </c>
      <c r="AT46" s="336">
        <v>0.25800000000000001</v>
      </c>
      <c r="AU46" s="336">
        <v>0.27</v>
      </c>
      <c r="AV46" s="9">
        <v>0.25700000000000001</v>
      </c>
      <c r="AW46" s="336">
        <v>0.26800000000000002</v>
      </c>
      <c r="AX46" s="336">
        <v>0.26500000000000001</v>
      </c>
      <c r="AY46" s="336">
        <v>0.28199999999999997</v>
      </c>
      <c r="AZ46" s="336">
        <v>0.28599999999999998</v>
      </c>
      <c r="BA46" s="9">
        <v>0.27600000000000002</v>
      </c>
      <c r="BB46" s="336">
        <v>0.28399999999999997</v>
      </c>
      <c r="BC46" s="336">
        <v>0.29799999999999999</v>
      </c>
      <c r="BD46" s="336">
        <v>0.29799999999999999</v>
      </c>
      <c r="BE46" s="336">
        <v>0.312</v>
      </c>
      <c r="BF46" s="9">
        <v>0.29799999999999999</v>
      </c>
      <c r="BG46" s="336">
        <v>0.315</v>
      </c>
      <c r="BH46" s="336">
        <v>0.317</v>
      </c>
      <c r="BI46" s="336">
        <v>0.32700000000000001</v>
      </c>
      <c r="BJ46" s="336">
        <v>0.32600000000000001</v>
      </c>
      <c r="BK46" s="9">
        <v>0.32100000000000001</v>
      </c>
      <c r="BL46" s="336">
        <v>0.32100000000000001</v>
      </c>
      <c r="BM46" s="336">
        <v>0.32500000000000001</v>
      </c>
      <c r="BN46" s="336"/>
      <c r="BO46" s="336"/>
      <c r="BP46" s="9">
        <v>0.32300000000000001</v>
      </c>
    </row>
    <row r="47" spans="2:68">
      <c r="B47" s="218"/>
      <c r="C47" s="35" t="s">
        <v>299</v>
      </c>
      <c r="D47" s="8">
        <v>0.123</v>
      </c>
      <c r="E47" s="8">
        <v>0.123</v>
      </c>
      <c r="F47" s="8">
        <v>0.11899999999999999</v>
      </c>
      <c r="G47" s="10">
        <v>0.11600000000000001</v>
      </c>
      <c r="H47" s="9">
        <v>0.12</v>
      </c>
      <c r="I47" s="8">
        <v>0.122</v>
      </c>
      <c r="J47" s="8">
        <v>0.115</v>
      </c>
      <c r="K47" s="8">
        <v>0.115</v>
      </c>
      <c r="L47" s="10">
        <v>0.11700000000000001</v>
      </c>
      <c r="M47" s="9">
        <v>0.11700000000000001</v>
      </c>
      <c r="N47" s="8">
        <v>0.123</v>
      </c>
      <c r="O47" s="8">
        <v>0.126</v>
      </c>
      <c r="P47" s="8">
        <v>0.124</v>
      </c>
      <c r="Q47" s="10">
        <v>0.124</v>
      </c>
      <c r="R47" s="9">
        <v>0.124</v>
      </c>
      <c r="S47" s="8">
        <v>0.129</v>
      </c>
      <c r="T47" s="8">
        <v>0.129</v>
      </c>
      <c r="U47" s="8">
        <v>0.122</v>
      </c>
      <c r="V47" s="8">
        <v>0.13</v>
      </c>
      <c r="W47" s="9">
        <v>0.127</v>
      </c>
      <c r="X47" s="8">
        <v>0.13100000000000001</v>
      </c>
      <c r="Y47" s="8">
        <v>0.13200000000000001</v>
      </c>
      <c r="Z47" s="8">
        <v>0.128</v>
      </c>
      <c r="AA47" s="8">
        <v>0.125</v>
      </c>
      <c r="AB47" s="9">
        <v>0.129</v>
      </c>
      <c r="AC47" s="336">
        <v>0.125</v>
      </c>
      <c r="AD47" s="336">
        <v>0.11799999999999999</v>
      </c>
      <c r="AE47" s="336">
        <v>0.115</v>
      </c>
      <c r="AF47" s="336">
        <v>0.114</v>
      </c>
      <c r="AG47" s="9">
        <v>0.11799999999999999</v>
      </c>
      <c r="AH47" s="336">
        <v>0.11600000000000001</v>
      </c>
      <c r="AI47" s="336">
        <v>0.12</v>
      </c>
      <c r="AJ47" s="336">
        <v>0.11799999999999999</v>
      </c>
      <c r="AK47" s="336">
        <v>0.11</v>
      </c>
      <c r="AL47" s="9">
        <v>0.11600000000000001</v>
      </c>
      <c r="AM47" s="336">
        <v>0.112</v>
      </c>
      <c r="AN47" s="336">
        <v>0.107</v>
      </c>
      <c r="AO47" s="336">
        <v>0.10299999999999999</v>
      </c>
      <c r="AP47" s="336">
        <v>0.10199999999999999</v>
      </c>
      <c r="AQ47" s="9">
        <v>0.106</v>
      </c>
      <c r="AR47" s="336">
        <v>0.106</v>
      </c>
      <c r="AS47" s="336">
        <v>9.9000000000000005E-2</v>
      </c>
      <c r="AT47" s="336">
        <v>9.8000000000000004E-2</v>
      </c>
      <c r="AU47" s="336">
        <v>9.4E-2</v>
      </c>
      <c r="AV47" s="9">
        <v>9.9000000000000005E-2</v>
      </c>
      <c r="AW47" s="336">
        <v>9.7000000000000003E-2</v>
      </c>
      <c r="AX47" s="336">
        <v>9.6000000000000002E-2</v>
      </c>
      <c r="AY47" s="336">
        <v>0.104</v>
      </c>
      <c r="AZ47" s="336">
        <v>9.6000000000000002E-2</v>
      </c>
      <c r="BA47" s="9">
        <v>9.8000000000000004E-2</v>
      </c>
      <c r="BB47" s="336">
        <v>9.6000000000000002E-2</v>
      </c>
      <c r="BC47" s="336">
        <v>9.7000000000000003E-2</v>
      </c>
      <c r="BD47" s="336">
        <v>8.6999999999999994E-2</v>
      </c>
      <c r="BE47" s="336">
        <v>8.7999999999999995E-2</v>
      </c>
      <c r="BF47" s="9">
        <v>9.1999999999999998E-2</v>
      </c>
      <c r="BG47" s="336">
        <v>9.0999999999999998E-2</v>
      </c>
      <c r="BH47" s="336">
        <v>8.8999999999999996E-2</v>
      </c>
      <c r="BI47" s="336">
        <v>8.5999999999999993E-2</v>
      </c>
      <c r="BJ47" s="336">
        <v>9.0999999999999998E-2</v>
      </c>
      <c r="BK47" s="9">
        <v>8.8999999999999996E-2</v>
      </c>
      <c r="BL47" s="336">
        <v>0.09</v>
      </c>
      <c r="BM47" s="336">
        <v>0.10100000000000001</v>
      </c>
      <c r="BN47" s="336"/>
      <c r="BO47" s="336"/>
      <c r="BP47" s="9">
        <v>9.6000000000000002E-2</v>
      </c>
    </row>
    <row r="48" spans="2:68">
      <c r="B48" s="218"/>
      <c r="C48" s="35" t="s">
        <v>300</v>
      </c>
      <c r="D48" s="8">
        <v>2.4E-2</v>
      </c>
      <c r="E48" s="8">
        <v>2.1999999999999999E-2</v>
      </c>
      <c r="F48" s="8">
        <v>2.5000000000000001E-2</v>
      </c>
      <c r="G48" s="10">
        <v>2.5000000000000001E-2</v>
      </c>
      <c r="H48" s="9">
        <v>2.4E-2</v>
      </c>
      <c r="I48" s="8">
        <v>2.1999999999999999E-2</v>
      </c>
      <c r="J48" s="8">
        <v>2.3400000000000001E-2</v>
      </c>
      <c r="K48" s="8">
        <v>2.8000000000000001E-2</v>
      </c>
      <c r="L48" s="10">
        <v>0.03</v>
      </c>
      <c r="M48" s="9">
        <v>2.5999999999999999E-2</v>
      </c>
      <c r="N48" s="8">
        <v>2.7E-2</v>
      </c>
      <c r="O48" s="8">
        <v>3.4000000000000002E-2</v>
      </c>
      <c r="P48" s="8">
        <v>3.4000000000000002E-2</v>
      </c>
      <c r="Q48" s="10">
        <v>3.2000000000000001E-2</v>
      </c>
      <c r="R48" s="9">
        <v>3.2000000000000001E-2</v>
      </c>
      <c r="S48" s="8">
        <v>3.5999999999999997E-2</v>
      </c>
      <c r="T48" s="8">
        <v>3.3000000000000002E-2</v>
      </c>
      <c r="U48" s="8">
        <v>0.03</v>
      </c>
      <c r="V48" s="8">
        <v>2.8000000000000001E-2</v>
      </c>
      <c r="W48" s="9">
        <v>3.2000000000000001E-2</v>
      </c>
      <c r="X48" s="8">
        <v>2.5999999999999999E-2</v>
      </c>
      <c r="Y48" s="8">
        <v>2.5000000000000001E-2</v>
      </c>
      <c r="Z48" s="8">
        <v>2.5999999999999999E-2</v>
      </c>
      <c r="AA48" s="8">
        <v>2.3E-2</v>
      </c>
      <c r="AB48" s="9">
        <v>2.5000000000000001E-2</v>
      </c>
      <c r="AC48" s="336">
        <v>2.3E-2</v>
      </c>
      <c r="AD48" s="336">
        <v>2.7E-2</v>
      </c>
      <c r="AE48" s="336">
        <v>2.8000000000000001E-2</v>
      </c>
      <c r="AF48" s="336">
        <v>2.5999999999999999E-2</v>
      </c>
      <c r="AG48" s="9">
        <v>2.5999999999999999E-2</v>
      </c>
      <c r="AH48" s="336">
        <v>2.9000000000000001E-2</v>
      </c>
      <c r="AI48" s="336">
        <v>0.03</v>
      </c>
      <c r="AJ48" s="336">
        <v>2.5999999999999999E-2</v>
      </c>
      <c r="AK48" s="336">
        <v>0.03</v>
      </c>
      <c r="AL48" s="9">
        <v>2.9000000000000001E-2</v>
      </c>
      <c r="AM48" s="336">
        <v>2.9000000000000001E-2</v>
      </c>
      <c r="AN48" s="336">
        <v>2.5999999999999999E-2</v>
      </c>
      <c r="AO48" s="336">
        <v>0.03</v>
      </c>
      <c r="AP48" s="336">
        <v>3.2000000000000001E-2</v>
      </c>
      <c r="AQ48" s="9">
        <v>2.9000000000000001E-2</v>
      </c>
      <c r="AR48" s="336">
        <v>2.5999999999999999E-2</v>
      </c>
      <c r="AS48" s="336">
        <v>2.9000000000000001E-2</v>
      </c>
      <c r="AT48" s="336">
        <v>2.4E-2</v>
      </c>
      <c r="AU48" s="336">
        <v>2.5999999999999999E-2</v>
      </c>
      <c r="AV48" s="9">
        <v>2.5999999999999999E-2</v>
      </c>
      <c r="AW48" s="336">
        <v>2.7E-2</v>
      </c>
      <c r="AX48" s="336">
        <v>2.8000000000000001E-2</v>
      </c>
      <c r="AY48" s="336">
        <v>2.4E-2</v>
      </c>
      <c r="AZ48" s="336">
        <v>2.1999999999999999E-2</v>
      </c>
      <c r="BA48" s="9">
        <v>2.5000000000000001E-2</v>
      </c>
      <c r="BB48" s="336">
        <v>3.1E-2</v>
      </c>
      <c r="BC48" s="336">
        <v>3.1E-2</v>
      </c>
      <c r="BD48" s="336">
        <v>3.1E-2</v>
      </c>
      <c r="BE48" s="336">
        <v>2.9000000000000001E-2</v>
      </c>
      <c r="BF48" s="9">
        <v>3.1E-2</v>
      </c>
      <c r="BG48" s="336">
        <v>2.9000000000000001E-2</v>
      </c>
      <c r="BH48" s="336">
        <v>3.1E-2</v>
      </c>
      <c r="BI48" s="336">
        <v>2.8000000000000001E-2</v>
      </c>
      <c r="BJ48" s="336">
        <v>2.5999999999999999E-2</v>
      </c>
      <c r="BK48" s="9">
        <v>2.9000000000000001E-2</v>
      </c>
      <c r="BL48" s="336">
        <v>2.5000000000000001E-2</v>
      </c>
      <c r="BM48" s="336">
        <v>2.8000000000000001E-2</v>
      </c>
      <c r="BN48" s="336"/>
      <c r="BO48" s="336"/>
      <c r="BP48" s="9">
        <v>2.5999999999999999E-2</v>
      </c>
    </row>
    <row r="49" spans="2:68">
      <c r="B49" s="218"/>
      <c r="C49" s="34" t="s">
        <v>301</v>
      </c>
      <c r="D49" s="5">
        <f>SUM(D45:D48)</f>
        <v>1</v>
      </c>
      <c r="E49" s="5">
        <f>SUM(E45:E48)</f>
        <v>1</v>
      </c>
      <c r="F49" s="5">
        <f>SUM(F45:F48)</f>
        <v>1</v>
      </c>
      <c r="G49" s="5">
        <f>SUM(G45:G48)</f>
        <v>1</v>
      </c>
      <c r="H49" s="6">
        <f>SUM(H45:H48)</f>
        <v>1</v>
      </c>
      <c r="I49" s="5">
        <f t="shared" ref="I49:BM49" si="3">SUM(I45:I48)</f>
        <v>1</v>
      </c>
      <c r="J49" s="5">
        <f t="shared" si="3"/>
        <v>1.0004</v>
      </c>
      <c r="K49" s="5">
        <f t="shared" si="3"/>
        <v>1</v>
      </c>
      <c r="L49" s="5">
        <f t="shared" si="3"/>
        <v>1</v>
      </c>
      <c r="M49" s="6">
        <f t="shared" si="3"/>
        <v>1</v>
      </c>
      <c r="N49" s="5">
        <f t="shared" si="3"/>
        <v>1</v>
      </c>
      <c r="O49" s="5">
        <f t="shared" si="3"/>
        <v>1</v>
      </c>
      <c r="P49" s="5">
        <f t="shared" si="3"/>
        <v>1</v>
      </c>
      <c r="Q49" s="5">
        <f t="shared" si="3"/>
        <v>1</v>
      </c>
      <c r="R49" s="6">
        <f t="shared" si="3"/>
        <v>1</v>
      </c>
      <c r="S49" s="5">
        <f t="shared" si="3"/>
        <v>1</v>
      </c>
      <c r="T49" s="5">
        <f t="shared" si="3"/>
        <v>1</v>
      </c>
      <c r="U49" s="5">
        <f t="shared" si="3"/>
        <v>1</v>
      </c>
      <c r="V49" s="5">
        <f t="shared" si="3"/>
        <v>1</v>
      </c>
      <c r="W49" s="6">
        <f t="shared" si="3"/>
        <v>1</v>
      </c>
      <c r="X49" s="5">
        <f t="shared" si="3"/>
        <v>1</v>
      </c>
      <c r="Y49" s="5">
        <f t="shared" si="3"/>
        <v>1</v>
      </c>
      <c r="Z49" s="5">
        <f t="shared" si="3"/>
        <v>1</v>
      </c>
      <c r="AA49" s="5">
        <f t="shared" si="3"/>
        <v>1</v>
      </c>
      <c r="AB49" s="6">
        <f t="shared" si="3"/>
        <v>1</v>
      </c>
      <c r="AC49" s="337">
        <f t="shared" si="3"/>
        <v>1</v>
      </c>
      <c r="AD49" s="337">
        <f t="shared" si="3"/>
        <v>1</v>
      </c>
      <c r="AE49" s="337">
        <f t="shared" si="3"/>
        <v>1</v>
      </c>
      <c r="AF49" s="337">
        <f t="shared" si="3"/>
        <v>1</v>
      </c>
      <c r="AG49" s="6">
        <f t="shared" si="3"/>
        <v>1</v>
      </c>
      <c r="AH49" s="337">
        <f t="shared" si="3"/>
        <v>1</v>
      </c>
      <c r="AI49" s="337">
        <f t="shared" si="3"/>
        <v>1</v>
      </c>
      <c r="AJ49" s="337">
        <f t="shared" si="3"/>
        <v>1</v>
      </c>
      <c r="AK49" s="337">
        <f t="shared" si="3"/>
        <v>1</v>
      </c>
      <c r="AL49" s="6">
        <f t="shared" si="3"/>
        <v>1</v>
      </c>
      <c r="AM49" s="337">
        <f t="shared" si="3"/>
        <v>1</v>
      </c>
      <c r="AN49" s="337">
        <f t="shared" si="3"/>
        <v>1</v>
      </c>
      <c r="AO49" s="337">
        <f t="shared" si="3"/>
        <v>1</v>
      </c>
      <c r="AP49" s="337">
        <f t="shared" si="3"/>
        <v>1</v>
      </c>
      <c r="AQ49" s="6">
        <f t="shared" si="3"/>
        <v>1</v>
      </c>
      <c r="AR49" s="337">
        <f t="shared" si="3"/>
        <v>1</v>
      </c>
      <c r="AS49" s="337">
        <f t="shared" si="3"/>
        <v>1</v>
      </c>
      <c r="AT49" s="337">
        <f t="shared" si="3"/>
        <v>1</v>
      </c>
      <c r="AU49" s="337">
        <f t="shared" si="3"/>
        <v>1</v>
      </c>
      <c r="AV49" s="6">
        <f t="shared" si="3"/>
        <v>1</v>
      </c>
      <c r="AW49" s="337">
        <f t="shared" si="3"/>
        <v>1</v>
      </c>
      <c r="AX49" s="337">
        <f t="shared" si="3"/>
        <v>1</v>
      </c>
      <c r="AY49" s="337">
        <f t="shared" si="3"/>
        <v>0.99999999999999989</v>
      </c>
      <c r="AZ49" s="337">
        <f t="shared" si="3"/>
        <v>0.99999999999999989</v>
      </c>
      <c r="BA49" s="6">
        <f t="shared" si="3"/>
        <v>1</v>
      </c>
      <c r="BB49" s="337">
        <f t="shared" si="3"/>
        <v>1</v>
      </c>
      <c r="BC49" s="337">
        <f t="shared" si="3"/>
        <v>0.99999999999999989</v>
      </c>
      <c r="BD49" s="337">
        <f t="shared" si="3"/>
        <v>0.99999999999999989</v>
      </c>
      <c r="BE49" s="337">
        <f t="shared" si="3"/>
        <v>1</v>
      </c>
      <c r="BF49" s="6">
        <f t="shared" si="3"/>
        <v>1</v>
      </c>
      <c r="BG49" s="337">
        <f t="shared" si="3"/>
        <v>0.99999999999999989</v>
      </c>
      <c r="BH49" s="337">
        <f t="shared" si="3"/>
        <v>0.99999999999999989</v>
      </c>
      <c r="BI49" s="337">
        <f t="shared" si="3"/>
        <v>1</v>
      </c>
      <c r="BJ49" s="337">
        <f t="shared" si="3"/>
        <v>1</v>
      </c>
      <c r="BK49" s="6">
        <f t="shared" si="3"/>
        <v>1</v>
      </c>
      <c r="BL49" s="337">
        <f t="shared" si="3"/>
        <v>1</v>
      </c>
      <c r="BM49" s="337">
        <f t="shared" si="3"/>
        <v>1</v>
      </c>
      <c r="BN49" s="337"/>
      <c r="BO49" s="337"/>
      <c r="BP49" s="6">
        <f>SUM(BP45:BP48)</f>
        <v>1</v>
      </c>
    </row>
    <row r="50" spans="2:68" hidden="1">
      <c r="B50" s="218"/>
      <c r="C50" s="34"/>
      <c r="D50" s="5"/>
      <c r="E50" s="5"/>
      <c r="F50" s="5"/>
      <c r="G50" s="5"/>
      <c r="H50" s="6"/>
      <c r="I50" s="5"/>
      <c r="J50" s="5"/>
      <c r="K50" s="5"/>
      <c r="L50" s="5"/>
      <c r="M50" s="6"/>
      <c r="N50" s="5"/>
      <c r="O50" s="5"/>
      <c r="P50" s="5"/>
      <c r="Q50" s="5"/>
      <c r="R50" s="6"/>
      <c r="S50" s="5"/>
      <c r="T50" s="5"/>
      <c r="U50" s="5"/>
      <c r="V50" s="5"/>
      <c r="W50" s="6"/>
      <c r="X50" s="5"/>
      <c r="Y50" s="5"/>
      <c r="Z50" s="5"/>
      <c r="AA50" s="5"/>
      <c r="AB50" s="6"/>
      <c r="AC50" s="337"/>
      <c r="AD50" s="337"/>
      <c r="AE50" s="337"/>
      <c r="AF50" s="337"/>
      <c r="AG50" s="6"/>
      <c r="AH50" s="337"/>
      <c r="AI50" s="337"/>
      <c r="AJ50" s="337"/>
      <c r="AK50" s="337"/>
      <c r="AL50" s="6"/>
      <c r="AM50" s="337"/>
      <c r="AN50" s="337"/>
      <c r="AO50" s="337"/>
      <c r="AP50" s="337"/>
      <c r="AQ50" s="6"/>
      <c r="AR50" s="337"/>
      <c r="AS50" s="337"/>
      <c r="AT50" s="337"/>
      <c r="AU50" s="337"/>
      <c r="AV50" s="6"/>
      <c r="AW50" s="337"/>
      <c r="AX50" s="337"/>
      <c r="AY50" s="337"/>
      <c r="AZ50" s="337"/>
      <c r="BA50" s="6"/>
      <c r="BB50" s="337"/>
      <c r="BC50" s="337"/>
      <c r="BD50" s="337"/>
      <c r="BE50" s="337"/>
      <c r="BF50" s="6"/>
      <c r="BG50" s="337"/>
      <c r="BH50" s="337"/>
      <c r="BI50" s="337"/>
      <c r="BJ50" s="337"/>
      <c r="BK50" s="6">
        <f t="shared" ref="BK50:BK107" si="4">BG50</f>
        <v>0</v>
      </c>
      <c r="BL50" s="337"/>
      <c r="BM50" s="337"/>
      <c r="BN50" s="337"/>
      <c r="BO50" s="337"/>
      <c r="BP50" s="6"/>
    </row>
    <row r="51" spans="2:68" s="39" customFormat="1" ht="12" hidden="1" customHeight="1">
      <c r="B51" s="218" t="s">
        <v>292</v>
      </c>
      <c r="C51" s="2" t="s">
        <v>302</v>
      </c>
      <c r="G51" s="40"/>
      <c r="H51" s="28"/>
      <c r="L51" s="40"/>
      <c r="M51" s="28"/>
      <c r="Q51" s="40"/>
      <c r="R51" s="28"/>
      <c r="W51" s="28"/>
      <c r="X51" s="261"/>
      <c r="AB51" s="28"/>
      <c r="AC51" s="338"/>
      <c r="AD51" s="338"/>
      <c r="AE51" s="338"/>
      <c r="AF51" s="338"/>
      <c r="AG51" s="28"/>
      <c r="AH51" s="338"/>
      <c r="AI51" s="338"/>
      <c r="AJ51" s="338"/>
      <c r="AK51" s="338"/>
      <c r="AL51" s="28"/>
      <c r="AM51" s="338"/>
      <c r="AN51" s="338"/>
      <c r="AO51" s="338"/>
      <c r="AP51" s="338"/>
      <c r="AQ51" s="28"/>
      <c r="AR51" s="338"/>
      <c r="AS51" s="338"/>
      <c r="AT51" s="338"/>
      <c r="AU51" s="338"/>
      <c r="AV51" s="28"/>
      <c r="AW51" s="338"/>
      <c r="AX51" s="338"/>
      <c r="AY51" s="338"/>
      <c r="AZ51" s="338"/>
      <c r="BA51" s="28"/>
      <c r="BB51" s="338"/>
      <c r="BC51" s="400"/>
      <c r="BD51" s="400"/>
      <c r="BE51" s="400"/>
      <c r="BF51" s="28"/>
      <c r="BG51" s="338"/>
      <c r="BH51" s="400"/>
      <c r="BI51" s="400"/>
      <c r="BJ51" s="400"/>
      <c r="BK51" s="28">
        <f t="shared" si="4"/>
        <v>0</v>
      </c>
      <c r="BL51" s="338"/>
      <c r="BM51" s="400"/>
      <c r="BN51" s="400"/>
      <c r="BO51" s="400"/>
      <c r="BP51" s="28"/>
    </row>
    <row r="52" spans="2:68" s="39" customFormat="1" ht="12" hidden="1" customHeight="1">
      <c r="B52" s="218"/>
      <c r="C52" s="3"/>
      <c r="G52" s="40"/>
      <c r="H52" s="6"/>
      <c r="L52" s="40"/>
      <c r="M52" s="6"/>
      <c r="Q52" s="40"/>
      <c r="R52" s="6"/>
      <c r="W52" s="6"/>
      <c r="X52" s="261"/>
      <c r="AB52" s="6"/>
      <c r="AC52" s="338"/>
      <c r="AD52" s="338"/>
      <c r="AE52" s="338"/>
      <c r="AF52" s="338"/>
      <c r="AG52" s="6"/>
      <c r="AH52" s="338"/>
      <c r="AI52" s="338"/>
      <c r="AJ52" s="338"/>
      <c r="AK52" s="338"/>
      <c r="AL52" s="6"/>
      <c r="AM52" s="338"/>
      <c r="AN52" s="338"/>
      <c r="AO52" s="338"/>
      <c r="AP52" s="338"/>
      <c r="AQ52" s="6"/>
      <c r="AR52" s="338"/>
      <c r="AS52" s="338"/>
      <c r="AT52" s="338"/>
      <c r="AU52" s="338"/>
      <c r="AV52" s="6"/>
      <c r="AW52" s="338"/>
      <c r="AX52" s="338"/>
      <c r="AY52" s="338"/>
      <c r="AZ52" s="338"/>
      <c r="BA52" s="6"/>
      <c r="BB52" s="338"/>
      <c r="BC52" s="400"/>
      <c r="BD52" s="400"/>
      <c r="BE52" s="400"/>
      <c r="BF52" s="6"/>
      <c r="BG52" s="338"/>
      <c r="BH52" s="400"/>
      <c r="BI52" s="400"/>
      <c r="BJ52" s="400"/>
      <c r="BK52" s="6">
        <f t="shared" si="4"/>
        <v>0</v>
      </c>
      <c r="BL52" s="338"/>
      <c r="BM52" s="400"/>
      <c r="BN52" s="400"/>
      <c r="BO52" s="400"/>
      <c r="BP52" s="6"/>
    </row>
    <row r="53" spans="2:68" s="39" customFormat="1" ht="12" hidden="1" customHeight="1">
      <c r="B53" s="218"/>
      <c r="C53" s="4" t="s">
        <v>303</v>
      </c>
      <c r="D53" s="5">
        <f t="shared" ref="D53:O53" si="5">SUM(D54:D55)</f>
        <v>0.33400000000000002</v>
      </c>
      <c r="E53" s="5">
        <f t="shared" si="5"/>
        <v>0.32800000000000001</v>
      </c>
      <c r="F53" s="5">
        <f t="shared" si="5"/>
        <v>0.33100000000000002</v>
      </c>
      <c r="G53" s="5">
        <f t="shared" si="5"/>
        <v>0.33600000000000002</v>
      </c>
      <c r="H53" s="6">
        <f>SUM(H54:H55)</f>
        <v>0.33200000000000002</v>
      </c>
      <c r="I53" s="5">
        <f t="shared" si="5"/>
        <v>0.33100000000000002</v>
      </c>
      <c r="J53" s="5">
        <f t="shared" si="5"/>
        <v>0.32800000000000001</v>
      </c>
      <c r="K53" s="5">
        <f t="shared" si="5"/>
        <v>0.33500000000000002</v>
      </c>
      <c r="L53" s="5">
        <f t="shared" si="5"/>
        <v>0.32800000000000001</v>
      </c>
      <c r="M53" s="6">
        <f>SUM(M54:M55)</f>
        <v>0.33</v>
      </c>
      <c r="N53" s="5">
        <f t="shared" si="5"/>
        <v>0.32800000000000001</v>
      </c>
      <c r="O53" s="5">
        <f t="shared" si="5"/>
        <v>0.33100000000000002</v>
      </c>
      <c r="P53" s="5">
        <f t="shared" ref="P53:W53" si="6">SUM(P54:P55)</f>
        <v>0.33300000000000002</v>
      </c>
      <c r="Q53" s="5">
        <f t="shared" si="6"/>
        <v>0.33500000000000002</v>
      </c>
      <c r="R53" s="6">
        <f t="shared" si="6"/>
        <v>0.33200000000000002</v>
      </c>
      <c r="S53" s="5">
        <f t="shared" si="6"/>
        <v>0.33300000000000002</v>
      </c>
      <c r="T53" s="5">
        <f t="shared" si="6"/>
        <v>0.33400000000000002</v>
      </c>
      <c r="U53" s="5">
        <f t="shared" si="6"/>
        <v>0.33100000000000002</v>
      </c>
      <c r="V53" s="5">
        <f t="shared" si="6"/>
        <v>0.33</v>
      </c>
      <c r="W53" s="6">
        <f t="shared" si="6"/>
        <v>0.33200000000000002</v>
      </c>
      <c r="X53" s="261"/>
      <c r="Y53" s="5"/>
      <c r="Z53" s="5"/>
      <c r="AA53" s="5"/>
      <c r="AB53" s="6"/>
      <c r="AC53" s="338"/>
      <c r="AD53" s="338"/>
      <c r="AE53" s="338"/>
      <c r="AF53" s="338"/>
      <c r="AG53" s="6"/>
      <c r="AH53" s="338"/>
      <c r="AI53" s="338"/>
      <c r="AJ53" s="338"/>
      <c r="AK53" s="338"/>
      <c r="AL53" s="6"/>
      <c r="AM53" s="338"/>
      <c r="AN53" s="338"/>
      <c r="AO53" s="338"/>
      <c r="AP53" s="338"/>
      <c r="AQ53" s="6"/>
      <c r="AR53" s="338"/>
      <c r="AS53" s="338"/>
      <c r="AT53" s="338"/>
      <c r="AU53" s="338"/>
      <c r="AV53" s="6"/>
      <c r="AW53" s="338"/>
      <c r="AX53" s="338"/>
      <c r="AY53" s="338"/>
      <c r="AZ53" s="338"/>
      <c r="BA53" s="6"/>
      <c r="BB53" s="338"/>
      <c r="BC53" s="400"/>
      <c r="BD53" s="400"/>
      <c r="BE53" s="400"/>
      <c r="BF53" s="6"/>
      <c r="BG53" s="338"/>
      <c r="BH53" s="400"/>
      <c r="BI53" s="400"/>
      <c r="BJ53" s="400"/>
      <c r="BK53" s="6">
        <f t="shared" si="4"/>
        <v>0</v>
      </c>
      <c r="BL53" s="338"/>
      <c r="BM53" s="400"/>
      <c r="BN53" s="400"/>
      <c r="BO53" s="400"/>
      <c r="BP53" s="6"/>
    </row>
    <row r="54" spans="2:68" s="39" customFormat="1" ht="12" hidden="1" customHeight="1">
      <c r="B54" s="218"/>
      <c r="C54" s="7" t="s">
        <v>304</v>
      </c>
      <c r="D54" s="8">
        <v>0.27400000000000002</v>
      </c>
      <c r="E54" s="8">
        <v>0.26800000000000002</v>
      </c>
      <c r="F54" s="8">
        <v>0.26800000000000002</v>
      </c>
      <c r="G54" s="10">
        <v>0.27200000000000002</v>
      </c>
      <c r="H54" s="9">
        <v>0.27</v>
      </c>
      <c r="I54" s="8">
        <v>0.27100000000000002</v>
      </c>
      <c r="J54" s="8">
        <v>0.27200000000000002</v>
      </c>
      <c r="K54" s="8">
        <v>0.27600000000000002</v>
      </c>
      <c r="L54" s="10">
        <v>0.27400000000000002</v>
      </c>
      <c r="M54" s="9">
        <v>0.27300000000000002</v>
      </c>
      <c r="N54" s="8">
        <v>0.27200000000000002</v>
      </c>
      <c r="O54" s="8">
        <v>0.27400000000000002</v>
      </c>
      <c r="P54" s="8">
        <v>0.27200000000000002</v>
      </c>
      <c r="Q54" s="10">
        <v>0.27400000000000002</v>
      </c>
      <c r="R54" s="9">
        <v>0.27300000000000002</v>
      </c>
      <c r="S54" s="8">
        <v>0.27100000000000002</v>
      </c>
      <c r="T54" s="8">
        <v>0.27</v>
      </c>
      <c r="U54" s="8">
        <v>0.26300000000000001</v>
      </c>
      <c r="V54" s="8">
        <v>0.26200000000000001</v>
      </c>
      <c r="W54" s="9">
        <v>0.26700000000000002</v>
      </c>
      <c r="X54" s="261"/>
      <c r="Y54" s="8"/>
      <c r="Z54" s="8"/>
      <c r="AA54" s="8"/>
      <c r="AB54" s="9"/>
      <c r="AC54" s="338"/>
      <c r="AD54" s="338"/>
      <c r="AE54" s="338"/>
      <c r="AF54" s="338"/>
      <c r="AG54" s="9"/>
      <c r="AH54" s="338"/>
      <c r="AI54" s="338"/>
      <c r="AJ54" s="338"/>
      <c r="AK54" s="338"/>
      <c r="AL54" s="9"/>
      <c r="AM54" s="338"/>
      <c r="AN54" s="338"/>
      <c r="AO54" s="338"/>
      <c r="AP54" s="338"/>
      <c r="AQ54" s="9"/>
      <c r="AR54" s="338"/>
      <c r="AS54" s="338"/>
      <c r="AT54" s="338"/>
      <c r="AU54" s="338"/>
      <c r="AV54" s="9"/>
      <c r="AW54" s="338"/>
      <c r="AX54" s="338"/>
      <c r="AY54" s="338"/>
      <c r="AZ54" s="338"/>
      <c r="BA54" s="9"/>
      <c r="BB54" s="338"/>
      <c r="BC54" s="400"/>
      <c r="BD54" s="400"/>
      <c r="BE54" s="400"/>
      <c r="BF54" s="9"/>
      <c r="BG54" s="338"/>
      <c r="BH54" s="400"/>
      <c r="BI54" s="400"/>
      <c r="BJ54" s="400"/>
      <c r="BK54" s="9">
        <f t="shared" si="4"/>
        <v>0</v>
      </c>
      <c r="BL54" s="338"/>
      <c r="BM54" s="400"/>
      <c r="BN54" s="400"/>
      <c r="BO54" s="400"/>
      <c r="BP54" s="9"/>
    </row>
    <row r="55" spans="2:68" s="39" customFormat="1" ht="12" hidden="1" customHeight="1">
      <c r="B55" s="218"/>
      <c r="C55" s="7" t="s">
        <v>305</v>
      </c>
      <c r="D55" s="8">
        <v>0.06</v>
      </c>
      <c r="E55" s="8">
        <v>0.06</v>
      </c>
      <c r="F55" s="8">
        <v>6.3E-2</v>
      </c>
      <c r="G55" s="10">
        <v>6.4000000000000001E-2</v>
      </c>
      <c r="H55" s="9">
        <v>6.2E-2</v>
      </c>
      <c r="I55" s="8">
        <v>0.06</v>
      </c>
      <c r="J55" s="8">
        <v>5.6000000000000001E-2</v>
      </c>
      <c r="K55" s="8">
        <v>5.8999999999999997E-2</v>
      </c>
      <c r="L55" s="10">
        <v>5.3999999999999999E-2</v>
      </c>
      <c r="M55" s="9">
        <v>5.7000000000000002E-2</v>
      </c>
      <c r="N55" s="8">
        <v>5.6000000000000001E-2</v>
      </c>
      <c r="O55" s="8">
        <v>5.7000000000000002E-2</v>
      </c>
      <c r="P55" s="8">
        <v>6.0999999999999999E-2</v>
      </c>
      <c r="Q55" s="10">
        <v>6.0999999999999999E-2</v>
      </c>
      <c r="R55" s="9">
        <v>5.8999999999999997E-2</v>
      </c>
      <c r="S55" s="8">
        <v>6.2E-2</v>
      </c>
      <c r="T55" s="8">
        <v>6.4000000000000001E-2</v>
      </c>
      <c r="U55" s="8">
        <v>6.8000000000000005E-2</v>
      </c>
      <c r="V55" s="8">
        <v>6.8000000000000005E-2</v>
      </c>
      <c r="W55" s="9">
        <v>6.5000000000000002E-2</v>
      </c>
      <c r="X55" s="261"/>
      <c r="Y55" s="8"/>
      <c r="Z55" s="8"/>
      <c r="AA55" s="8"/>
      <c r="AB55" s="9"/>
      <c r="AC55" s="338"/>
      <c r="AD55" s="338"/>
      <c r="AE55" s="338"/>
      <c r="AF55" s="338"/>
      <c r="AG55" s="9"/>
      <c r="AH55" s="338"/>
      <c r="AI55" s="338"/>
      <c r="AJ55" s="338"/>
      <c r="AK55" s="338"/>
      <c r="AL55" s="9"/>
      <c r="AM55" s="338"/>
      <c r="AN55" s="338"/>
      <c r="AO55" s="338"/>
      <c r="AP55" s="338"/>
      <c r="AQ55" s="9"/>
      <c r="AR55" s="338"/>
      <c r="AS55" s="338"/>
      <c r="AT55" s="338"/>
      <c r="AU55" s="338"/>
      <c r="AV55" s="9"/>
      <c r="AW55" s="338"/>
      <c r="AX55" s="338"/>
      <c r="AY55" s="338"/>
      <c r="AZ55" s="338"/>
      <c r="BA55" s="9"/>
      <c r="BB55" s="338"/>
      <c r="BC55" s="400"/>
      <c r="BD55" s="400"/>
      <c r="BE55" s="400"/>
      <c r="BF55" s="9"/>
      <c r="BG55" s="338"/>
      <c r="BH55" s="400"/>
      <c r="BI55" s="400"/>
      <c r="BJ55" s="400"/>
      <c r="BK55" s="9">
        <f t="shared" si="4"/>
        <v>0</v>
      </c>
      <c r="BL55" s="338"/>
      <c r="BM55" s="400"/>
      <c r="BN55" s="400"/>
      <c r="BO55" s="400"/>
      <c r="BP55" s="9"/>
    </row>
    <row r="56" spans="2:68" s="39" customFormat="1" ht="12" hidden="1" customHeight="1">
      <c r="B56" s="218"/>
      <c r="C56" s="7"/>
      <c r="D56" s="8"/>
      <c r="E56" s="8"/>
      <c r="F56" s="8"/>
      <c r="G56" s="10"/>
      <c r="H56" s="6"/>
      <c r="I56" s="8"/>
      <c r="J56" s="8"/>
      <c r="K56" s="8"/>
      <c r="L56" s="10"/>
      <c r="M56" s="6"/>
      <c r="N56" s="8"/>
      <c r="O56" s="8"/>
      <c r="P56" s="8"/>
      <c r="Q56" s="10"/>
      <c r="R56" s="6"/>
      <c r="S56" s="8"/>
      <c r="T56" s="8"/>
      <c r="U56" s="8"/>
      <c r="V56" s="8"/>
      <c r="W56" s="6"/>
      <c r="X56" s="261"/>
      <c r="Y56" s="8"/>
      <c r="Z56" s="8"/>
      <c r="AA56" s="8"/>
      <c r="AB56" s="6"/>
      <c r="AC56" s="338"/>
      <c r="AD56" s="338"/>
      <c r="AE56" s="338"/>
      <c r="AF56" s="338"/>
      <c r="AG56" s="6"/>
      <c r="AH56" s="338"/>
      <c r="AI56" s="338"/>
      <c r="AJ56" s="338"/>
      <c r="AK56" s="338"/>
      <c r="AL56" s="6"/>
      <c r="AM56" s="338"/>
      <c r="AN56" s="338"/>
      <c r="AO56" s="338"/>
      <c r="AP56" s="338"/>
      <c r="AQ56" s="6"/>
      <c r="AR56" s="338"/>
      <c r="AS56" s="338"/>
      <c r="AT56" s="338"/>
      <c r="AU56" s="338"/>
      <c r="AV56" s="6"/>
      <c r="AW56" s="338"/>
      <c r="AX56" s="338"/>
      <c r="AY56" s="338"/>
      <c r="AZ56" s="338"/>
      <c r="BA56" s="6"/>
      <c r="BB56" s="338"/>
      <c r="BC56" s="400"/>
      <c r="BD56" s="400"/>
      <c r="BE56" s="400"/>
      <c r="BF56" s="6"/>
      <c r="BG56" s="338"/>
      <c r="BH56" s="400"/>
      <c r="BI56" s="400"/>
      <c r="BJ56" s="400"/>
      <c r="BK56" s="6">
        <f t="shared" si="4"/>
        <v>0</v>
      </c>
      <c r="BL56" s="338"/>
      <c r="BM56" s="400"/>
      <c r="BN56" s="400"/>
      <c r="BO56" s="400"/>
      <c r="BP56" s="6"/>
    </row>
    <row r="57" spans="2:68" s="39" customFormat="1" ht="12" hidden="1" customHeight="1">
      <c r="B57" s="218"/>
      <c r="C57" s="4" t="s">
        <v>306</v>
      </c>
      <c r="D57" s="5">
        <v>0.23200000000000001</v>
      </c>
      <c r="E57" s="5">
        <v>0.23300000000000001</v>
      </c>
      <c r="F57" s="5">
        <v>0.23400000000000001</v>
      </c>
      <c r="G57" s="5">
        <v>0.23799999999999999</v>
      </c>
      <c r="H57" s="6">
        <v>0.23400000000000001</v>
      </c>
      <c r="I57" s="5">
        <v>0.24</v>
      </c>
      <c r="J57" s="5">
        <v>0.23799999999999999</v>
      </c>
      <c r="K57" s="5">
        <v>0.22800000000000001</v>
      </c>
      <c r="L57" s="5">
        <v>0.22700000000000001</v>
      </c>
      <c r="M57" s="6">
        <v>0.23300000000000001</v>
      </c>
      <c r="N57" s="5">
        <v>0.22800000000000001</v>
      </c>
      <c r="O57" s="5">
        <v>0.22500000000000001</v>
      </c>
      <c r="P57" s="5">
        <v>0.22500000000000001</v>
      </c>
      <c r="Q57" s="5">
        <v>0.224</v>
      </c>
      <c r="R57" s="6">
        <v>0.22600000000000001</v>
      </c>
      <c r="S57" s="5">
        <v>0.222</v>
      </c>
      <c r="T57" s="5">
        <v>0.22</v>
      </c>
      <c r="U57" s="5">
        <v>0.218</v>
      </c>
      <c r="V57" s="5">
        <v>0.219</v>
      </c>
      <c r="W57" s="6">
        <v>0.219</v>
      </c>
      <c r="X57" s="261"/>
      <c r="Y57" s="5"/>
      <c r="Z57" s="5"/>
      <c r="AA57" s="5"/>
      <c r="AB57" s="6"/>
      <c r="AC57" s="338"/>
      <c r="AD57" s="338"/>
      <c r="AE57" s="338"/>
      <c r="AF57" s="338"/>
      <c r="AG57" s="6"/>
      <c r="AH57" s="338"/>
      <c r="AI57" s="338"/>
      <c r="AJ57" s="338"/>
      <c r="AK57" s="338"/>
      <c r="AL57" s="6"/>
      <c r="AM57" s="338"/>
      <c r="AN57" s="338"/>
      <c r="AO57" s="338"/>
      <c r="AP57" s="338"/>
      <c r="AQ57" s="6"/>
      <c r="AR57" s="338"/>
      <c r="AS57" s="338"/>
      <c r="AT57" s="338"/>
      <c r="AU57" s="338"/>
      <c r="AV57" s="6"/>
      <c r="AW57" s="338"/>
      <c r="AX57" s="338"/>
      <c r="AY57" s="338"/>
      <c r="AZ57" s="338"/>
      <c r="BA57" s="6"/>
      <c r="BB57" s="338"/>
      <c r="BC57" s="400"/>
      <c r="BD57" s="400"/>
      <c r="BE57" s="400"/>
      <c r="BF57" s="6"/>
      <c r="BG57" s="338"/>
      <c r="BH57" s="400"/>
      <c r="BI57" s="400"/>
      <c r="BJ57" s="400"/>
      <c r="BK57" s="6">
        <f t="shared" si="4"/>
        <v>0</v>
      </c>
      <c r="BL57" s="338"/>
      <c r="BM57" s="400"/>
      <c r="BN57" s="400"/>
      <c r="BO57" s="400"/>
      <c r="BP57" s="6"/>
    </row>
    <row r="58" spans="2:68" s="39" customFormat="1" ht="12" hidden="1" customHeight="1">
      <c r="B58" s="218"/>
      <c r="C58" s="11"/>
      <c r="D58" s="8"/>
      <c r="E58" s="8"/>
      <c r="F58" s="8"/>
      <c r="G58" s="10"/>
      <c r="H58" s="6"/>
      <c r="I58" s="8"/>
      <c r="J58" s="8"/>
      <c r="K58" s="8"/>
      <c r="L58" s="10"/>
      <c r="M58" s="6"/>
      <c r="N58" s="8"/>
      <c r="O58" s="8"/>
      <c r="P58" s="8"/>
      <c r="Q58" s="10"/>
      <c r="R58" s="6"/>
      <c r="S58" s="8"/>
      <c r="T58" s="8"/>
      <c r="U58" s="8"/>
      <c r="V58" s="8"/>
      <c r="W58" s="6"/>
      <c r="X58" s="261"/>
      <c r="Y58" s="8"/>
      <c r="Z58" s="8"/>
      <c r="AA58" s="8"/>
      <c r="AB58" s="6"/>
      <c r="AC58" s="338"/>
      <c r="AD58" s="338"/>
      <c r="AE58" s="338"/>
      <c r="AF58" s="338"/>
      <c r="AG58" s="6"/>
      <c r="AH58" s="338"/>
      <c r="AI58" s="338"/>
      <c r="AJ58" s="338"/>
      <c r="AK58" s="338"/>
      <c r="AL58" s="6"/>
      <c r="AM58" s="338"/>
      <c r="AN58" s="338"/>
      <c r="AO58" s="338"/>
      <c r="AP58" s="338"/>
      <c r="AQ58" s="6"/>
      <c r="AR58" s="338"/>
      <c r="AS58" s="338"/>
      <c r="AT58" s="338"/>
      <c r="AU58" s="338"/>
      <c r="AV58" s="6"/>
      <c r="AW58" s="338"/>
      <c r="AX58" s="338"/>
      <c r="AY58" s="338"/>
      <c r="AZ58" s="338"/>
      <c r="BA58" s="6"/>
      <c r="BB58" s="338"/>
      <c r="BC58" s="400"/>
      <c r="BD58" s="400"/>
      <c r="BE58" s="400"/>
      <c r="BF58" s="6"/>
      <c r="BG58" s="338"/>
      <c r="BH58" s="400"/>
      <c r="BI58" s="400"/>
      <c r="BJ58" s="400"/>
      <c r="BK58" s="6">
        <f t="shared" si="4"/>
        <v>0</v>
      </c>
      <c r="BL58" s="338"/>
      <c r="BM58" s="400"/>
      <c r="BN58" s="400"/>
      <c r="BO58" s="400"/>
      <c r="BP58" s="6"/>
    </row>
    <row r="59" spans="2:68" s="39" customFormat="1" ht="12" hidden="1" customHeight="1">
      <c r="B59" s="218"/>
      <c r="C59" s="4" t="s">
        <v>307</v>
      </c>
      <c r="D59" s="5">
        <f t="shared" ref="D59:O59" si="7">SUM(D60:D63)</f>
        <v>0.23799999999999996</v>
      </c>
      <c r="E59" s="5">
        <f t="shared" si="7"/>
        <v>0.23399999999999996</v>
      </c>
      <c r="F59" s="5">
        <f t="shared" si="7"/>
        <v>0.23499999999999996</v>
      </c>
      <c r="G59" s="5">
        <f t="shared" si="7"/>
        <v>0.23499999999999999</v>
      </c>
      <c r="H59" s="6">
        <f>SUM(H60:H63)</f>
        <v>0.23599999999999996</v>
      </c>
      <c r="I59" s="5">
        <f t="shared" si="7"/>
        <v>0.24099999999999996</v>
      </c>
      <c r="J59" s="5">
        <f t="shared" si="7"/>
        <v>0.24599999999999997</v>
      </c>
      <c r="K59" s="5">
        <f t="shared" si="7"/>
        <v>0.24299999999999997</v>
      </c>
      <c r="L59" s="5">
        <f t="shared" si="7"/>
        <v>0.24499999999999997</v>
      </c>
      <c r="M59" s="6">
        <f>SUM(M60:M63)</f>
        <v>0.24399999999999997</v>
      </c>
      <c r="N59" s="5">
        <f t="shared" si="7"/>
        <v>0.24199999999999997</v>
      </c>
      <c r="O59" s="5">
        <f t="shared" si="7"/>
        <v>0.23499999999999996</v>
      </c>
      <c r="P59" s="5">
        <f t="shared" ref="P59:W59" si="8">SUM(P60:P63)</f>
        <v>0.23499999999999996</v>
      </c>
      <c r="Q59" s="5">
        <f t="shared" si="8"/>
        <v>0.22699999999999995</v>
      </c>
      <c r="R59" s="6">
        <f t="shared" si="8"/>
        <v>0.23399999999999996</v>
      </c>
      <c r="S59" s="5">
        <f t="shared" si="8"/>
        <v>0.22699999999999995</v>
      </c>
      <c r="T59" s="5">
        <f t="shared" si="8"/>
        <v>0.22600000000000001</v>
      </c>
      <c r="U59" s="5">
        <f t="shared" si="8"/>
        <v>0.22699999999999995</v>
      </c>
      <c r="V59" s="5">
        <f t="shared" si="8"/>
        <v>0.224</v>
      </c>
      <c r="W59" s="6">
        <f t="shared" si="8"/>
        <v>0.22600000000000001</v>
      </c>
      <c r="X59" s="261"/>
      <c r="Y59" s="5"/>
      <c r="Z59" s="5"/>
      <c r="AA59" s="5"/>
      <c r="AB59" s="6"/>
      <c r="AC59" s="338"/>
      <c r="AD59" s="338"/>
      <c r="AE59" s="338"/>
      <c r="AF59" s="338"/>
      <c r="AG59" s="6"/>
      <c r="AH59" s="338"/>
      <c r="AI59" s="338"/>
      <c r="AJ59" s="338"/>
      <c r="AK59" s="338"/>
      <c r="AL59" s="6"/>
      <c r="AM59" s="338"/>
      <c r="AN59" s="338"/>
      <c r="AO59" s="338"/>
      <c r="AP59" s="338"/>
      <c r="AQ59" s="6"/>
      <c r="AR59" s="338"/>
      <c r="AS59" s="338"/>
      <c r="AT59" s="338"/>
      <c r="AU59" s="338"/>
      <c r="AV59" s="6"/>
      <c r="AW59" s="338"/>
      <c r="AX59" s="338"/>
      <c r="AY59" s="338"/>
      <c r="AZ59" s="338"/>
      <c r="BA59" s="6"/>
      <c r="BB59" s="338"/>
      <c r="BC59" s="400"/>
      <c r="BD59" s="400"/>
      <c r="BE59" s="400"/>
      <c r="BF59" s="6"/>
      <c r="BG59" s="338"/>
      <c r="BH59" s="400"/>
      <c r="BI59" s="400"/>
      <c r="BJ59" s="400"/>
      <c r="BK59" s="6">
        <f t="shared" si="4"/>
        <v>0</v>
      </c>
      <c r="BL59" s="338"/>
      <c r="BM59" s="400"/>
      <c r="BN59" s="400"/>
      <c r="BO59" s="400"/>
      <c r="BP59" s="6"/>
    </row>
    <row r="60" spans="2:68" s="39" customFormat="1" ht="12" hidden="1" customHeight="1">
      <c r="B60" s="218"/>
      <c r="C60" s="7" t="s">
        <v>308</v>
      </c>
      <c r="D60" s="8">
        <v>0.158</v>
      </c>
      <c r="E60" s="8">
        <v>0.153</v>
      </c>
      <c r="F60" s="8">
        <v>0.14899999999999999</v>
      </c>
      <c r="G60" s="10">
        <v>0.151</v>
      </c>
      <c r="H60" s="9">
        <v>0.153</v>
      </c>
      <c r="I60" s="8">
        <v>0.15</v>
      </c>
      <c r="J60" s="8">
        <v>0.14899999999999999</v>
      </c>
      <c r="K60" s="8">
        <v>0.14699999999999999</v>
      </c>
      <c r="L60" s="10">
        <v>0.15</v>
      </c>
      <c r="M60" s="9">
        <v>0.14899999999999999</v>
      </c>
      <c r="N60" s="8">
        <v>0.155</v>
      </c>
      <c r="O60" s="8">
        <v>0.14899999999999999</v>
      </c>
      <c r="P60" s="8">
        <v>0.14599999999999999</v>
      </c>
      <c r="Q60" s="10">
        <v>0.14099999999999999</v>
      </c>
      <c r="R60" s="9">
        <v>0.14699999999999999</v>
      </c>
      <c r="S60" s="8">
        <v>0.14199999999999999</v>
      </c>
      <c r="T60" s="8">
        <v>0.13800000000000001</v>
      </c>
      <c r="U60" s="8">
        <v>0.14099999999999999</v>
      </c>
      <c r="V60" s="8">
        <v>0.13300000000000001</v>
      </c>
      <c r="W60" s="9">
        <v>0.13900000000000001</v>
      </c>
      <c r="X60" s="261"/>
      <c r="Y60" s="8"/>
      <c r="Z60" s="8"/>
      <c r="AA60" s="8"/>
      <c r="AB60" s="9"/>
      <c r="AC60" s="338"/>
      <c r="AD60" s="338"/>
      <c r="AE60" s="338"/>
      <c r="AF60" s="338"/>
      <c r="AG60" s="9"/>
      <c r="AH60" s="338"/>
      <c r="AI60" s="338"/>
      <c r="AJ60" s="338"/>
      <c r="AK60" s="338"/>
      <c r="AL60" s="9"/>
      <c r="AM60" s="338"/>
      <c r="AN60" s="338"/>
      <c r="AO60" s="338"/>
      <c r="AP60" s="338"/>
      <c r="AQ60" s="9"/>
      <c r="AR60" s="338"/>
      <c r="AS60" s="338"/>
      <c r="AT60" s="338"/>
      <c r="AU60" s="338"/>
      <c r="AV60" s="9"/>
      <c r="AW60" s="338"/>
      <c r="AX60" s="338"/>
      <c r="AY60" s="338"/>
      <c r="AZ60" s="338"/>
      <c r="BA60" s="9"/>
      <c r="BB60" s="338"/>
      <c r="BC60" s="400"/>
      <c r="BD60" s="400"/>
      <c r="BE60" s="400"/>
      <c r="BF60" s="9"/>
      <c r="BG60" s="338"/>
      <c r="BH60" s="400"/>
      <c r="BI60" s="400"/>
      <c r="BJ60" s="400"/>
      <c r="BK60" s="9">
        <f t="shared" si="4"/>
        <v>0</v>
      </c>
      <c r="BL60" s="338"/>
      <c r="BM60" s="400"/>
      <c r="BN60" s="400"/>
      <c r="BO60" s="400"/>
      <c r="BP60" s="9"/>
    </row>
    <row r="61" spans="2:68" s="39" customFormat="1" ht="12" hidden="1" customHeight="1">
      <c r="B61" s="218"/>
      <c r="C61" s="7" t="s">
        <v>309</v>
      </c>
      <c r="D61" s="8">
        <v>1.4999999999999999E-2</v>
      </c>
      <c r="E61" s="8">
        <v>1.4999999999999999E-2</v>
      </c>
      <c r="F61" s="8">
        <v>1.4999999999999999E-2</v>
      </c>
      <c r="G61" s="10">
        <v>1.6E-2</v>
      </c>
      <c r="H61" s="9">
        <v>1.4999999999999999E-2</v>
      </c>
      <c r="I61" s="8">
        <v>1.4999999999999999E-2</v>
      </c>
      <c r="J61" s="8">
        <v>1.9E-2</v>
      </c>
      <c r="K61" s="8">
        <v>1.9E-2</v>
      </c>
      <c r="L61" s="10">
        <v>1.7999999999999999E-2</v>
      </c>
      <c r="M61" s="9">
        <v>1.7999999999999999E-2</v>
      </c>
      <c r="N61" s="8">
        <v>1.9E-2</v>
      </c>
      <c r="O61" s="8">
        <v>1.9E-2</v>
      </c>
      <c r="P61" s="8">
        <v>0.02</v>
      </c>
      <c r="Q61" s="10">
        <v>0.02</v>
      </c>
      <c r="R61" s="9">
        <v>0.02</v>
      </c>
      <c r="S61" s="8">
        <v>1.9E-2</v>
      </c>
      <c r="T61" s="8">
        <v>0.02</v>
      </c>
      <c r="U61" s="8">
        <v>2.1000000000000001E-2</v>
      </c>
      <c r="V61" s="8">
        <v>2.5000000000000001E-2</v>
      </c>
      <c r="W61" s="9">
        <v>2.1000000000000001E-2</v>
      </c>
      <c r="X61" s="261"/>
      <c r="Y61" s="8"/>
      <c r="Z61" s="8"/>
      <c r="AA61" s="8"/>
      <c r="AB61" s="9"/>
      <c r="AC61" s="338"/>
      <c r="AD61" s="338"/>
      <c r="AE61" s="338"/>
      <c r="AF61" s="338"/>
      <c r="AG61" s="9"/>
      <c r="AH61" s="338"/>
      <c r="AI61" s="338"/>
      <c r="AJ61" s="338"/>
      <c r="AK61" s="338"/>
      <c r="AL61" s="9"/>
      <c r="AM61" s="338"/>
      <c r="AN61" s="338"/>
      <c r="AO61" s="338"/>
      <c r="AP61" s="338"/>
      <c r="AQ61" s="9"/>
      <c r="AR61" s="338"/>
      <c r="AS61" s="338"/>
      <c r="AT61" s="338"/>
      <c r="AU61" s="338"/>
      <c r="AV61" s="9"/>
      <c r="AW61" s="338"/>
      <c r="AX61" s="338"/>
      <c r="AY61" s="338"/>
      <c r="AZ61" s="338"/>
      <c r="BA61" s="9"/>
      <c r="BB61" s="338"/>
      <c r="BC61" s="400"/>
      <c r="BD61" s="400"/>
      <c r="BE61" s="400"/>
      <c r="BF61" s="9"/>
      <c r="BG61" s="338"/>
      <c r="BH61" s="400"/>
      <c r="BI61" s="400"/>
      <c r="BJ61" s="400"/>
      <c r="BK61" s="9">
        <f t="shared" si="4"/>
        <v>0</v>
      </c>
      <c r="BL61" s="338"/>
      <c r="BM61" s="400"/>
      <c r="BN61" s="400"/>
      <c r="BO61" s="400"/>
      <c r="BP61" s="9"/>
    </row>
    <row r="62" spans="2:68" s="39" customFormat="1" ht="12" hidden="1" customHeight="1">
      <c r="B62" s="218"/>
      <c r="C62" s="7" t="s">
        <v>310</v>
      </c>
      <c r="D62" s="8">
        <v>4.5999999999999999E-2</v>
      </c>
      <c r="E62" s="8">
        <v>4.7E-2</v>
      </c>
      <c r="F62" s="8">
        <v>5.0999999999999997E-2</v>
      </c>
      <c r="G62" s="10">
        <v>5.0999999999999997E-2</v>
      </c>
      <c r="H62" s="9">
        <v>4.9000000000000002E-2</v>
      </c>
      <c r="I62" s="8">
        <v>5.6000000000000001E-2</v>
      </c>
      <c r="J62" s="8">
        <v>5.8999999999999997E-2</v>
      </c>
      <c r="K62" s="8">
        <v>5.8000000000000003E-2</v>
      </c>
      <c r="L62" s="10">
        <v>5.7000000000000002E-2</v>
      </c>
      <c r="M62" s="9">
        <v>5.8000000000000003E-2</v>
      </c>
      <c r="N62" s="8">
        <v>4.7E-2</v>
      </c>
      <c r="O62" s="8">
        <v>4.4999999999999998E-2</v>
      </c>
      <c r="P62" s="8">
        <v>4.5999999999999999E-2</v>
      </c>
      <c r="Q62" s="10">
        <v>4.5999999999999999E-2</v>
      </c>
      <c r="R62" s="9">
        <v>4.5999999999999999E-2</v>
      </c>
      <c r="S62" s="8">
        <v>4.5999999999999999E-2</v>
      </c>
      <c r="T62" s="8">
        <v>4.8000000000000001E-2</v>
      </c>
      <c r="U62" s="8">
        <v>4.5999999999999999E-2</v>
      </c>
      <c r="V62" s="8">
        <v>4.7E-2</v>
      </c>
      <c r="W62" s="9">
        <v>4.7E-2</v>
      </c>
      <c r="X62" s="261"/>
      <c r="Y62" s="8"/>
      <c r="Z62" s="8"/>
      <c r="AA62" s="8"/>
      <c r="AB62" s="9"/>
      <c r="AC62" s="338"/>
      <c r="AD62" s="338"/>
      <c r="AE62" s="338"/>
      <c r="AF62" s="338"/>
      <c r="AG62" s="9"/>
      <c r="AH62" s="338"/>
      <c r="AI62" s="338"/>
      <c r="AJ62" s="338"/>
      <c r="AK62" s="338"/>
      <c r="AL62" s="9"/>
      <c r="AM62" s="338"/>
      <c r="AN62" s="338"/>
      <c r="AO62" s="338"/>
      <c r="AP62" s="338"/>
      <c r="AQ62" s="9"/>
      <c r="AR62" s="338"/>
      <c r="AS62" s="338"/>
      <c r="AT62" s="338"/>
      <c r="AU62" s="338"/>
      <c r="AV62" s="9"/>
      <c r="AW62" s="338"/>
      <c r="AX62" s="338"/>
      <c r="AY62" s="338"/>
      <c r="AZ62" s="338"/>
      <c r="BA62" s="9"/>
      <c r="BB62" s="338"/>
      <c r="BC62" s="400"/>
      <c r="BD62" s="400"/>
      <c r="BE62" s="400"/>
      <c r="BF62" s="9"/>
      <c r="BG62" s="338"/>
      <c r="BH62" s="400"/>
      <c r="BI62" s="400"/>
      <c r="BJ62" s="400"/>
      <c r="BK62" s="9">
        <f t="shared" si="4"/>
        <v>0</v>
      </c>
      <c r="BL62" s="338"/>
      <c r="BM62" s="400"/>
      <c r="BN62" s="400"/>
      <c r="BO62" s="400"/>
      <c r="BP62" s="9"/>
    </row>
    <row r="63" spans="2:68" s="39" customFormat="1" ht="12" hidden="1" customHeight="1">
      <c r="B63" s="218"/>
      <c r="C63" s="7" t="s">
        <v>311</v>
      </c>
      <c r="D63" s="8">
        <v>1.9E-2</v>
      </c>
      <c r="E63" s="8">
        <v>1.9E-2</v>
      </c>
      <c r="F63" s="8">
        <v>0.02</v>
      </c>
      <c r="G63" s="10">
        <v>1.7000000000000001E-2</v>
      </c>
      <c r="H63" s="9">
        <v>1.9E-2</v>
      </c>
      <c r="I63" s="8">
        <v>0.02</v>
      </c>
      <c r="J63" s="8">
        <v>1.9E-2</v>
      </c>
      <c r="K63" s="8">
        <v>1.9E-2</v>
      </c>
      <c r="L63" s="10">
        <v>0.02</v>
      </c>
      <c r="M63" s="9">
        <v>1.9E-2</v>
      </c>
      <c r="N63" s="8">
        <v>2.1000000000000001E-2</v>
      </c>
      <c r="O63" s="8">
        <v>2.1999999999999999E-2</v>
      </c>
      <c r="P63" s="8">
        <v>2.3E-2</v>
      </c>
      <c r="Q63" s="10">
        <v>0.02</v>
      </c>
      <c r="R63" s="9">
        <v>2.1000000000000001E-2</v>
      </c>
      <c r="S63" s="8">
        <v>0.02</v>
      </c>
      <c r="T63" s="8">
        <v>0.02</v>
      </c>
      <c r="U63" s="8">
        <v>1.9E-2</v>
      </c>
      <c r="V63" s="8">
        <v>1.9E-2</v>
      </c>
      <c r="W63" s="9">
        <v>1.9E-2</v>
      </c>
      <c r="X63" s="261"/>
      <c r="Y63" s="8"/>
      <c r="Z63" s="8"/>
      <c r="AA63" s="8"/>
      <c r="AB63" s="9"/>
      <c r="AC63" s="338"/>
      <c r="AD63" s="338"/>
      <c r="AE63" s="338"/>
      <c r="AF63" s="338"/>
      <c r="AG63" s="9"/>
      <c r="AH63" s="338"/>
      <c r="AI63" s="338"/>
      <c r="AJ63" s="338"/>
      <c r="AK63" s="338"/>
      <c r="AL63" s="9"/>
      <c r="AM63" s="338"/>
      <c r="AN63" s="338"/>
      <c r="AO63" s="338"/>
      <c r="AP63" s="338"/>
      <c r="AQ63" s="9"/>
      <c r="AR63" s="338"/>
      <c r="AS63" s="338"/>
      <c r="AT63" s="338"/>
      <c r="AU63" s="338"/>
      <c r="AV63" s="9"/>
      <c r="AW63" s="338"/>
      <c r="AX63" s="338"/>
      <c r="AY63" s="338"/>
      <c r="AZ63" s="338"/>
      <c r="BA63" s="9"/>
      <c r="BB63" s="338"/>
      <c r="BC63" s="400"/>
      <c r="BD63" s="400"/>
      <c r="BE63" s="400"/>
      <c r="BF63" s="9"/>
      <c r="BG63" s="338"/>
      <c r="BH63" s="400"/>
      <c r="BI63" s="400"/>
      <c r="BJ63" s="400"/>
      <c r="BK63" s="9">
        <f t="shared" si="4"/>
        <v>0</v>
      </c>
      <c r="BL63" s="338"/>
      <c r="BM63" s="400"/>
      <c r="BN63" s="400"/>
      <c r="BO63" s="400"/>
      <c r="BP63" s="9"/>
    </row>
    <row r="64" spans="2:68" s="39" customFormat="1" ht="12" hidden="1" customHeight="1">
      <c r="B64" s="218"/>
      <c r="C64" s="7"/>
      <c r="D64" s="8"/>
      <c r="E64" s="8"/>
      <c r="F64" s="8"/>
      <c r="G64" s="10"/>
      <c r="H64" s="6"/>
      <c r="I64" s="8"/>
      <c r="J64" s="8"/>
      <c r="K64" s="8"/>
      <c r="L64" s="10"/>
      <c r="M64" s="6"/>
      <c r="N64" s="8"/>
      <c r="O64" s="8"/>
      <c r="P64" s="8"/>
      <c r="Q64" s="10"/>
      <c r="R64" s="6"/>
      <c r="S64" s="8"/>
      <c r="T64" s="8"/>
      <c r="U64" s="8"/>
      <c r="V64" s="8"/>
      <c r="W64" s="6"/>
      <c r="X64" s="261"/>
      <c r="Y64" s="8"/>
      <c r="Z64" s="8"/>
      <c r="AA64" s="8"/>
      <c r="AB64" s="6"/>
      <c r="AC64" s="338"/>
      <c r="AD64" s="338"/>
      <c r="AE64" s="338"/>
      <c r="AF64" s="338"/>
      <c r="AG64" s="6"/>
      <c r="AH64" s="338"/>
      <c r="AI64" s="338"/>
      <c r="AJ64" s="338"/>
      <c r="AK64" s="338"/>
      <c r="AL64" s="6"/>
      <c r="AM64" s="338"/>
      <c r="AN64" s="338"/>
      <c r="AO64" s="338"/>
      <c r="AP64" s="338"/>
      <c r="AQ64" s="6"/>
      <c r="AR64" s="338"/>
      <c r="AS64" s="338"/>
      <c r="AT64" s="338"/>
      <c r="AU64" s="338"/>
      <c r="AV64" s="6"/>
      <c r="AW64" s="338"/>
      <c r="AX64" s="338"/>
      <c r="AY64" s="338"/>
      <c r="AZ64" s="338"/>
      <c r="BA64" s="6"/>
      <c r="BB64" s="338"/>
      <c r="BC64" s="400"/>
      <c r="BD64" s="400"/>
      <c r="BE64" s="400"/>
      <c r="BF64" s="6"/>
      <c r="BG64" s="338"/>
      <c r="BH64" s="400"/>
      <c r="BI64" s="400"/>
      <c r="BJ64" s="400"/>
      <c r="BK64" s="6">
        <f t="shared" si="4"/>
        <v>0</v>
      </c>
      <c r="BL64" s="338"/>
      <c r="BM64" s="400"/>
      <c r="BN64" s="400"/>
      <c r="BO64" s="400"/>
      <c r="BP64" s="6"/>
    </row>
    <row r="65" spans="2:68" s="39" customFormat="1" ht="12" hidden="1" customHeight="1">
      <c r="B65" s="218"/>
      <c r="C65" s="4" t="s">
        <v>312</v>
      </c>
      <c r="D65" s="5">
        <f t="shared" ref="D65:V65" si="9">SUM(D66:D68)</f>
        <v>0.19599999999999998</v>
      </c>
      <c r="E65" s="5">
        <f t="shared" si="9"/>
        <v>0.20499999999999999</v>
      </c>
      <c r="F65" s="5">
        <f t="shared" si="9"/>
        <v>0.2</v>
      </c>
      <c r="G65" s="5">
        <f t="shared" si="9"/>
        <v>0.191</v>
      </c>
      <c r="H65" s="6">
        <f>SUM(H66:H68)</f>
        <v>0.19800000000000001</v>
      </c>
      <c r="I65" s="5">
        <f t="shared" si="9"/>
        <v>0.188</v>
      </c>
      <c r="J65" s="5">
        <f t="shared" si="9"/>
        <v>0.188</v>
      </c>
      <c r="K65" s="5">
        <f t="shared" si="9"/>
        <v>0.19400000000000001</v>
      </c>
      <c r="L65" s="5">
        <f t="shared" si="9"/>
        <v>0.19999999999999998</v>
      </c>
      <c r="M65" s="6">
        <f>SUM(M66:M68)</f>
        <v>0.193</v>
      </c>
      <c r="N65" s="5">
        <f t="shared" si="9"/>
        <v>0.20200000000000001</v>
      </c>
      <c r="O65" s="5">
        <f t="shared" si="9"/>
        <v>0.20900000000000002</v>
      </c>
      <c r="P65" s="5">
        <f t="shared" si="9"/>
        <v>0.20700000000000002</v>
      </c>
      <c r="Q65" s="5">
        <f t="shared" si="9"/>
        <v>0.21400000000000002</v>
      </c>
      <c r="R65" s="6">
        <f t="shared" si="9"/>
        <v>0.20800000000000002</v>
      </c>
      <c r="S65" s="5">
        <f t="shared" si="9"/>
        <v>0.218</v>
      </c>
      <c r="T65" s="5">
        <f t="shared" si="9"/>
        <v>0.22</v>
      </c>
      <c r="U65" s="5">
        <f t="shared" si="9"/>
        <v>0.224</v>
      </c>
      <c r="V65" s="5">
        <f t="shared" si="9"/>
        <v>0.22699999999999998</v>
      </c>
      <c r="W65" s="6">
        <f>SUM(W66:W68)</f>
        <v>0.223</v>
      </c>
      <c r="X65" s="261"/>
      <c r="Y65" s="5"/>
      <c r="Z65" s="5"/>
      <c r="AA65" s="5"/>
      <c r="AB65" s="6"/>
      <c r="AC65" s="338"/>
      <c r="AD65" s="338"/>
      <c r="AE65" s="338"/>
      <c r="AF65" s="338"/>
      <c r="AG65" s="6"/>
      <c r="AH65" s="338"/>
      <c r="AI65" s="338"/>
      <c r="AJ65" s="338"/>
      <c r="AK65" s="338"/>
      <c r="AL65" s="6"/>
      <c r="AM65" s="338"/>
      <c r="AN65" s="338"/>
      <c r="AO65" s="338"/>
      <c r="AP65" s="338"/>
      <c r="AQ65" s="6"/>
      <c r="AR65" s="338"/>
      <c r="AS65" s="338"/>
      <c r="AT65" s="338"/>
      <c r="AU65" s="338"/>
      <c r="AV65" s="6"/>
      <c r="AW65" s="338"/>
      <c r="AX65" s="338"/>
      <c r="AY65" s="338"/>
      <c r="AZ65" s="338"/>
      <c r="BA65" s="6"/>
      <c r="BB65" s="338"/>
      <c r="BC65" s="400"/>
      <c r="BD65" s="400"/>
      <c r="BE65" s="400"/>
      <c r="BF65" s="6"/>
      <c r="BG65" s="338"/>
      <c r="BH65" s="400"/>
      <c r="BI65" s="400"/>
      <c r="BJ65" s="400"/>
      <c r="BK65" s="6">
        <f t="shared" si="4"/>
        <v>0</v>
      </c>
      <c r="BL65" s="338"/>
      <c r="BM65" s="400"/>
      <c r="BN65" s="400"/>
      <c r="BO65" s="400"/>
      <c r="BP65" s="6"/>
    </row>
    <row r="66" spans="2:68" s="39" customFormat="1" ht="12" hidden="1" customHeight="1">
      <c r="B66" s="218"/>
      <c r="C66" s="7" t="s">
        <v>313</v>
      </c>
      <c r="D66" s="8">
        <v>5.0999999999999997E-2</v>
      </c>
      <c r="E66" s="8">
        <v>5.5E-2</v>
      </c>
      <c r="F66" s="8">
        <v>4.9000000000000002E-2</v>
      </c>
      <c r="G66" s="10">
        <v>4.4999999999999998E-2</v>
      </c>
      <c r="H66" s="9">
        <v>0.05</v>
      </c>
      <c r="I66" s="8">
        <v>4.2000000000000003E-2</v>
      </c>
      <c r="J66" s="8">
        <v>4.7E-2</v>
      </c>
      <c r="K66" s="8">
        <v>5.0999999999999997E-2</v>
      </c>
      <c r="L66" s="10">
        <v>5.1999999999999998E-2</v>
      </c>
      <c r="M66" s="9">
        <v>4.8000000000000001E-2</v>
      </c>
      <c r="N66" s="8">
        <v>4.7E-2</v>
      </c>
      <c r="O66" s="8">
        <v>4.8000000000000001E-2</v>
      </c>
      <c r="P66" s="8">
        <v>0.05</v>
      </c>
      <c r="Q66" s="10">
        <v>0.05</v>
      </c>
      <c r="R66" s="9">
        <v>4.9000000000000002E-2</v>
      </c>
      <c r="S66" s="8">
        <v>5.1999999999999998E-2</v>
      </c>
      <c r="T66" s="8">
        <v>5.5E-2</v>
      </c>
      <c r="U66" s="8">
        <v>5.8000000000000003E-2</v>
      </c>
      <c r="V66" s="8">
        <v>5.8999999999999997E-2</v>
      </c>
      <c r="W66" s="9">
        <v>5.6000000000000001E-2</v>
      </c>
      <c r="X66" s="261"/>
      <c r="Y66" s="8"/>
      <c r="Z66" s="8"/>
      <c r="AA66" s="8"/>
      <c r="AB66" s="9"/>
      <c r="AC66" s="338"/>
      <c r="AD66" s="338"/>
      <c r="AE66" s="338"/>
      <c r="AF66" s="338"/>
      <c r="AG66" s="9"/>
      <c r="AH66" s="338"/>
      <c r="AI66" s="338"/>
      <c r="AJ66" s="338"/>
      <c r="AK66" s="338"/>
      <c r="AL66" s="9"/>
      <c r="AM66" s="338"/>
      <c r="AN66" s="338"/>
      <c r="AO66" s="338"/>
      <c r="AP66" s="338"/>
      <c r="AQ66" s="9"/>
      <c r="AR66" s="338"/>
      <c r="AS66" s="338"/>
      <c r="AT66" s="338"/>
      <c r="AU66" s="338"/>
      <c r="AV66" s="9"/>
      <c r="AW66" s="338"/>
      <c r="AX66" s="338"/>
      <c r="AY66" s="338"/>
      <c r="AZ66" s="338"/>
      <c r="BA66" s="9"/>
      <c r="BB66" s="338"/>
      <c r="BC66" s="400"/>
      <c r="BD66" s="400"/>
      <c r="BE66" s="400"/>
      <c r="BF66" s="9"/>
      <c r="BG66" s="338"/>
      <c r="BH66" s="400"/>
      <c r="BI66" s="400"/>
      <c r="BJ66" s="400"/>
      <c r="BK66" s="9">
        <f t="shared" si="4"/>
        <v>0</v>
      </c>
      <c r="BL66" s="338"/>
      <c r="BM66" s="400"/>
      <c r="BN66" s="400"/>
      <c r="BO66" s="400"/>
      <c r="BP66" s="9"/>
    </row>
    <row r="67" spans="2:68" s="39" customFormat="1" ht="12" hidden="1" customHeight="1">
      <c r="B67" s="218"/>
      <c r="C67" s="7" t="s">
        <v>314</v>
      </c>
      <c r="D67" s="8">
        <v>8.6999999999999994E-2</v>
      </c>
      <c r="E67" s="8">
        <v>8.8999999999999996E-2</v>
      </c>
      <c r="F67" s="8">
        <v>8.6999999999999994E-2</v>
      </c>
      <c r="G67" s="10">
        <v>8.3000000000000004E-2</v>
      </c>
      <c r="H67" s="9">
        <v>8.6999999999999994E-2</v>
      </c>
      <c r="I67" s="8">
        <v>8.4000000000000005E-2</v>
      </c>
      <c r="J67" s="8">
        <v>7.9000000000000001E-2</v>
      </c>
      <c r="K67" s="8">
        <v>0.08</v>
      </c>
      <c r="L67" s="10">
        <v>8.5999999999999993E-2</v>
      </c>
      <c r="M67" s="9">
        <v>8.2000000000000003E-2</v>
      </c>
      <c r="N67" s="8">
        <v>9.4E-2</v>
      </c>
      <c r="O67" s="8">
        <v>9.4E-2</v>
      </c>
      <c r="P67" s="8">
        <v>9.0999999999999998E-2</v>
      </c>
      <c r="Q67" s="10">
        <v>9.9000000000000005E-2</v>
      </c>
      <c r="R67" s="9">
        <v>9.4E-2</v>
      </c>
      <c r="S67" s="8">
        <v>0.104</v>
      </c>
      <c r="T67" s="8">
        <v>0.104</v>
      </c>
      <c r="U67" s="8">
        <v>0.105</v>
      </c>
      <c r="V67" s="8">
        <v>0.108</v>
      </c>
      <c r="W67" s="9">
        <v>0.106</v>
      </c>
      <c r="X67" s="261"/>
      <c r="Y67" s="8"/>
      <c r="Z67" s="8"/>
      <c r="AA67" s="8"/>
      <c r="AB67" s="9"/>
      <c r="AC67" s="338"/>
      <c r="AD67" s="338"/>
      <c r="AE67" s="338"/>
      <c r="AF67" s="338"/>
      <c r="AG67" s="9"/>
      <c r="AH67" s="338"/>
      <c r="AI67" s="338"/>
      <c r="AJ67" s="338"/>
      <c r="AK67" s="338"/>
      <c r="AL67" s="9"/>
      <c r="AM67" s="338"/>
      <c r="AN67" s="338"/>
      <c r="AO67" s="338"/>
      <c r="AP67" s="338"/>
      <c r="AQ67" s="9"/>
      <c r="AR67" s="338"/>
      <c r="AS67" s="338"/>
      <c r="AT67" s="338"/>
      <c r="AU67" s="338"/>
      <c r="AV67" s="9"/>
      <c r="AW67" s="338"/>
      <c r="AX67" s="338"/>
      <c r="AY67" s="338"/>
      <c r="AZ67" s="338"/>
      <c r="BA67" s="9"/>
      <c r="BB67" s="338"/>
      <c r="BC67" s="400"/>
      <c r="BD67" s="400"/>
      <c r="BE67" s="400"/>
      <c r="BF67" s="9"/>
      <c r="BG67" s="338"/>
      <c r="BH67" s="400"/>
      <c r="BI67" s="400"/>
      <c r="BJ67" s="400"/>
      <c r="BK67" s="9">
        <f t="shared" si="4"/>
        <v>0</v>
      </c>
      <c r="BL67" s="338"/>
      <c r="BM67" s="400"/>
      <c r="BN67" s="400"/>
      <c r="BO67" s="400"/>
      <c r="BP67" s="9"/>
    </row>
    <row r="68" spans="2:68" s="39" customFormat="1" ht="12" hidden="1" customHeight="1">
      <c r="B68" s="218"/>
      <c r="C68" s="7" t="s">
        <v>315</v>
      </c>
      <c r="D68" s="8">
        <v>5.8000000000000003E-2</v>
      </c>
      <c r="E68" s="8">
        <v>6.0999999999999999E-2</v>
      </c>
      <c r="F68" s="8">
        <v>6.4000000000000001E-2</v>
      </c>
      <c r="G68" s="10">
        <v>6.3E-2</v>
      </c>
      <c r="H68" s="9">
        <v>6.0999999999999999E-2</v>
      </c>
      <c r="I68" s="8">
        <v>6.2E-2</v>
      </c>
      <c r="J68" s="8">
        <v>6.2E-2</v>
      </c>
      <c r="K68" s="8">
        <v>6.3E-2</v>
      </c>
      <c r="L68" s="10">
        <v>6.2E-2</v>
      </c>
      <c r="M68" s="9">
        <v>6.3E-2</v>
      </c>
      <c r="N68" s="8">
        <v>6.0999999999999999E-2</v>
      </c>
      <c r="O68" s="8">
        <v>6.7000000000000004E-2</v>
      </c>
      <c r="P68" s="8">
        <v>6.6000000000000003E-2</v>
      </c>
      <c r="Q68" s="10">
        <v>6.5000000000000002E-2</v>
      </c>
      <c r="R68" s="9">
        <v>6.5000000000000002E-2</v>
      </c>
      <c r="S68" s="8">
        <v>6.2E-2</v>
      </c>
      <c r="T68" s="8">
        <v>6.0999999999999999E-2</v>
      </c>
      <c r="U68" s="8">
        <v>6.0999999999999999E-2</v>
      </c>
      <c r="V68" s="8">
        <v>0.06</v>
      </c>
      <c r="W68" s="9">
        <v>6.0999999999999999E-2</v>
      </c>
      <c r="X68" s="261"/>
      <c r="Y68" s="8"/>
      <c r="Z68" s="8"/>
      <c r="AA68" s="8"/>
      <c r="AB68" s="9"/>
      <c r="AC68" s="338"/>
      <c r="AD68" s="338"/>
      <c r="AE68" s="338"/>
      <c r="AF68" s="338"/>
      <c r="AG68" s="9"/>
      <c r="AH68" s="338"/>
      <c r="AI68" s="338"/>
      <c r="AJ68" s="338"/>
      <c r="AK68" s="338"/>
      <c r="AL68" s="9"/>
      <c r="AM68" s="338"/>
      <c r="AN68" s="338"/>
      <c r="AO68" s="338"/>
      <c r="AP68" s="338"/>
      <c r="AQ68" s="9"/>
      <c r="AR68" s="338"/>
      <c r="AS68" s="338"/>
      <c r="AT68" s="338"/>
      <c r="AU68" s="338"/>
      <c r="AV68" s="9"/>
      <c r="AW68" s="338"/>
      <c r="AX68" s="338"/>
      <c r="AY68" s="338"/>
      <c r="AZ68" s="338"/>
      <c r="BA68" s="9"/>
      <c r="BB68" s="338"/>
      <c r="BC68" s="400"/>
      <c r="BD68" s="400"/>
      <c r="BE68" s="400"/>
      <c r="BF68" s="9"/>
      <c r="BG68" s="338"/>
      <c r="BH68" s="400"/>
      <c r="BI68" s="400"/>
      <c r="BJ68" s="400"/>
      <c r="BK68" s="9">
        <f t="shared" si="4"/>
        <v>0</v>
      </c>
      <c r="BL68" s="338"/>
      <c r="BM68" s="400"/>
      <c r="BN68" s="400"/>
      <c r="BO68" s="400"/>
      <c r="BP68" s="9"/>
    </row>
    <row r="69" spans="2:68" s="39" customFormat="1" ht="12" hidden="1" customHeight="1">
      <c r="B69" s="218"/>
      <c r="C69" s="11"/>
      <c r="D69" s="8"/>
      <c r="E69" s="8"/>
      <c r="F69" s="8"/>
      <c r="G69" s="10"/>
      <c r="H69" s="6"/>
      <c r="I69" s="8"/>
      <c r="J69" s="8"/>
      <c r="K69" s="8"/>
      <c r="L69" s="10"/>
      <c r="M69" s="6"/>
      <c r="N69" s="8"/>
      <c r="O69" s="8"/>
      <c r="P69" s="8"/>
      <c r="Q69" s="10"/>
      <c r="R69" s="6"/>
      <c r="S69" s="8"/>
      <c r="T69" s="8"/>
      <c r="U69" s="8"/>
      <c r="V69" s="8"/>
      <c r="W69" s="6"/>
      <c r="X69" s="261"/>
      <c r="Y69" s="8"/>
      <c r="Z69" s="8"/>
      <c r="AA69" s="8"/>
      <c r="AB69" s="6"/>
      <c r="AC69" s="338"/>
      <c r="AD69" s="338"/>
      <c r="AE69" s="338"/>
      <c r="AF69" s="338"/>
      <c r="AG69" s="6"/>
      <c r="AH69" s="338"/>
      <c r="AI69" s="338"/>
      <c r="AJ69" s="338"/>
      <c r="AK69" s="338"/>
      <c r="AL69" s="6"/>
      <c r="AM69" s="338"/>
      <c r="AN69" s="338"/>
      <c r="AO69" s="338"/>
      <c r="AP69" s="338"/>
      <c r="AQ69" s="6"/>
      <c r="AR69" s="338"/>
      <c r="AS69" s="338"/>
      <c r="AT69" s="338"/>
      <c r="AU69" s="338"/>
      <c r="AV69" s="6"/>
      <c r="AW69" s="338"/>
      <c r="AX69" s="338"/>
      <c r="AY69" s="338"/>
      <c r="AZ69" s="338"/>
      <c r="BA69" s="6"/>
      <c r="BB69" s="338"/>
      <c r="BC69" s="400"/>
      <c r="BD69" s="400"/>
      <c r="BE69" s="400"/>
      <c r="BF69" s="6"/>
      <c r="BG69" s="338"/>
      <c r="BH69" s="400"/>
      <c r="BI69" s="400"/>
      <c r="BJ69" s="400"/>
      <c r="BK69" s="6">
        <f t="shared" si="4"/>
        <v>0</v>
      </c>
      <c r="BL69" s="338"/>
      <c r="BM69" s="400"/>
      <c r="BN69" s="400"/>
      <c r="BO69" s="400"/>
      <c r="BP69" s="6"/>
    </row>
    <row r="70" spans="2:68" s="39" customFormat="1" ht="12" hidden="1" customHeight="1">
      <c r="B70" s="218"/>
      <c r="C70" s="12" t="s">
        <v>301</v>
      </c>
      <c r="D70" s="13">
        <f>D53+D57+D59+D65</f>
        <v>1</v>
      </c>
      <c r="E70" s="13">
        <f>E53+E57+E59+E65</f>
        <v>1</v>
      </c>
      <c r="F70" s="13">
        <f t="shared" ref="F70:O70" si="10">F53+F57+F59+F65</f>
        <v>1</v>
      </c>
      <c r="G70" s="13">
        <f t="shared" si="10"/>
        <v>1</v>
      </c>
      <c r="H70" s="14">
        <f t="shared" si="10"/>
        <v>1</v>
      </c>
      <c r="I70" s="13">
        <f t="shared" si="10"/>
        <v>1</v>
      </c>
      <c r="J70" s="13">
        <f t="shared" si="10"/>
        <v>1</v>
      </c>
      <c r="K70" s="13">
        <f t="shared" si="10"/>
        <v>1</v>
      </c>
      <c r="L70" s="13">
        <f t="shared" si="10"/>
        <v>1</v>
      </c>
      <c r="M70" s="14">
        <f>M53+M57+M59+M65</f>
        <v>1</v>
      </c>
      <c r="N70" s="13">
        <f t="shared" si="10"/>
        <v>1</v>
      </c>
      <c r="O70" s="13">
        <f t="shared" si="10"/>
        <v>1</v>
      </c>
      <c r="P70" s="13">
        <f t="shared" ref="P70:W70" si="11">P53+P57+P59+P65</f>
        <v>1</v>
      </c>
      <c r="Q70" s="13">
        <f t="shared" si="11"/>
        <v>1</v>
      </c>
      <c r="R70" s="14">
        <f t="shared" si="11"/>
        <v>1</v>
      </c>
      <c r="S70" s="13">
        <f t="shared" si="11"/>
        <v>1</v>
      </c>
      <c r="T70" s="13">
        <f t="shared" si="11"/>
        <v>1</v>
      </c>
      <c r="U70" s="13">
        <f t="shared" si="11"/>
        <v>1</v>
      </c>
      <c r="V70" s="13">
        <f t="shared" si="11"/>
        <v>1</v>
      </c>
      <c r="W70" s="14">
        <f t="shared" si="11"/>
        <v>1</v>
      </c>
      <c r="X70" s="261"/>
      <c r="Y70" s="13"/>
      <c r="Z70" s="13"/>
      <c r="AA70" s="13"/>
      <c r="AB70" s="14"/>
      <c r="AC70" s="338"/>
      <c r="AD70" s="338"/>
      <c r="AE70" s="338"/>
      <c r="AF70" s="338"/>
      <c r="AG70" s="14"/>
      <c r="AH70" s="338"/>
      <c r="AI70" s="338"/>
      <c r="AJ70" s="338"/>
      <c r="AK70" s="338"/>
      <c r="AL70" s="14"/>
      <c r="AM70" s="338"/>
      <c r="AN70" s="338"/>
      <c r="AO70" s="338"/>
      <c r="AP70" s="338"/>
      <c r="AQ70" s="14"/>
      <c r="AR70" s="338"/>
      <c r="AS70" s="338"/>
      <c r="AT70" s="338"/>
      <c r="AU70" s="338"/>
      <c r="AV70" s="14"/>
      <c r="AW70" s="338"/>
      <c r="AX70" s="338"/>
      <c r="AY70" s="338"/>
      <c r="AZ70" s="338"/>
      <c r="BA70" s="14"/>
      <c r="BB70" s="338"/>
      <c r="BC70" s="400"/>
      <c r="BD70" s="400"/>
      <c r="BE70" s="400"/>
      <c r="BF70" s="14"/>
      <c r="BG70" s="338"/>
      <c r="BH70" s="400"/>
      <c r="BI70" s="400"/>
      <c r="BJ70" s="400"/>
      <c r="BK70" s="14">
        <f t="shared" si="4"/>
        <v>0</v>
      </c>
      <c r="BL70" s="338"/>
      <c r="BM70" s="400"/>
      <c r="BN70" s="400"/>
      <c r="BO70" s="400"/>
      <c r="BP70" s="14"/>
    </row>
    <row r="71" spans="2:68" s="39" customFormat="1" ht="12" customHeight="1">
      <c r="B71" s="218"/>
      <c r="C71" s="12"/>
      <c r="D71" s="13"/>
      <c r="E71" s="13"/>
      <c r="F71" s="13"/>
      <c r="G71" s="13"/>
      <c r="H71" s="14"/>
      <c r="I71" s="13"/>
      <c r="J71" s="13"/>
      <c r="K71" s="13"/>
      <c r="L71" s="13"/>
      <c r="M71" s="14"/>
      <c r="N71" s="13"/>
      <c r="O71" s="13"/>
      <c r="P71" s="13"/>
      <c r="Q71" s="13"/>
      <c r="R71" s="14"/>
      <c r="S71" s="13"/>
      <c r="T71" s="13"/>
      <c r="U71" s="13"/>
      <c r="V71" s="13"/>
      <c r="W71" s="14"/>
      <c r="X71" s="252"/>
      <c r="Y71" s="13"/>
      <c r="Z71" s="13"/>
      <c r="AA71" s="13"/>
      <c r="AB71" s="14"/>
      <c r="AC71" s="339"/>
      <c r="AD71" s="339"/>
      <c r="AE71" s="339"/>
      <c r="AF71" s="339"/>
      <c r="AG71" s="14"/>
      <c r="AH71" s="339"/>
      <c r="AI71" s="339"/>
      <c r="AJ71" s="339"/>
      <c r="AK71" s="339"/>
      <c r="AL71" s="14"/>
      <c r="AM71" s="339"/>
      <c r="AN71" s="339"/>
      <c r="AO71" s="339"/>
      <c r="AP71" s="339"/>
      <c r="AQ71" s="14"/>
      <c r="AR71" s="339"/>
      <c r="AS71" s="339"/>
      <c r="AT71" s="339"/>
      <c r="AU71" s="339"/>
      <c r="AV71" s="14"/>
      <c r="AW71" s="339"/>
      <c r="AX71" s="339"/>
      <c r="AY71" s="339"/>
      <c r="AZ71" s="339"/>
      <c r="BA71" s="14"/>
      <c r="BB71" s="339"/>
      <c r="BC71" s="339"/>
      <c r="BD71" s="339"/>
      <c r="BE71" s="339"/>
      <c r="BF71" s="14"/>
      <c r="BG71" s="339"/>
      <c r="BH71" s="339"/>
      <c r="BI71" s="339"/>
      <c r="BJ71" s="339"/>
      <c r="BK71" s="14"/>
      <c r="BL71" s="339"/>
      <c r="BM71" s="339"/>
      <c r="BN71" s="339"/>
      <c r="BO71" s="339"/>
      <c r="BP71" s="14"/>
    </row>
    <row r="72" spans="2:68" s="39" customFormat="1">
      <c r="B72" s="218" t="s">
        <v>292</v>
      </c>
      <c r="C72" s="2" t="s">
        <v>316</v>
      </c>
      <c r="D72" s="13"/>
      <c r="E72" s="13"/>
      <c r="F72" s="13"/>
      <c r="G72" s="13"/>
      <c r="H72" s="14"/>
      <c r="I72" s="13"/>
      <c r="J72" s="13"/>
      <c r="K72" s="13"/>
      <c r="L72" s="13"/>
      <c r="M72" s="14"/>
      <c r="N72" s="13"/>
      <c r="O72" s="13"/>
      <c r="P72" s="13"/>
      <c r="Q72" s="13"/>
      <c r="R72" s="14"/>
      <c r="S72" s="13"/>
      <c r="T72" s="13"/>
      <c r="U72" s="13"/>
      <c r="V72" s="13"/>
      <c r="W72" s="14"/>
      <c r="X72" s="252"/>
      <c r="Y72" s="13"/>
      <c r="Z72" s="13"/>
      <c r="AA72" s="13"/>
      <c r="AB72" s="14"/>
      <c r="AC72" s="339"/>
      <c r="AD72" s="339"/>
      <c r="AE72" s="339"/>
      <c r="AF72" s="339"/>
      <c r="AG72" s="14"/>
      <c r="AH72" s="339"/>
      <c r="AI72" s="339"/>
      <c r="AJ72" s="339"/>
      <c r="AK72" s="339"/>
      <c r="AL72" s="14"/>
      <c r="AM72" s="339"/>
      <c r="AN72" s="339"/>
      <c r="AO72" s="339"/>
      <c r="AP72" s="339"/>
      <c r="AQ72" s="14"/>
      <c r="AR72" s="339"/>
      <c r="AS72" s="339"/>
      <c r="AT72" s="339"/>
      <c r="AU72" s="339"/>
      <c r="AV72" s="14"/>
      <c r="AW72" s="339"/>
      <c r="AX72" s="339"/>
      <c r="AY72" s="339"/>
      <c r="AZ72" s="339"/>
      <c r="BA72" s="14"/>
      <c r="BB72" s="339"/>
      <c r="BC72" s="339"/>
      <c r="BD72" s="339"/>
      <c r="BE72" s="339"/>
      <c r="BF72" s="14"/>
      <c r="BG72" s="339"/>
      <c r="BH72" s="339"/>
      <c r="BI72" s="339"/>
      <c r="BJ72" s="339"/>
      <c r="BK72" s="14"/>
      <c r="BL72" s="339"/>
      <c r="BM72" s="339"/>
      <c r="BN72" s="339"/>
      <c r="BO72" s="339"/>
      <c r="BP72" s="14"/>
    </row>
    <row r="73" spans="2:68" s="39" customFormat="1" ht="13.5">
      <c r="B73" s="218"/>
      <c r="C73" s="74" t="s">
        <v>317</v>
      </c>
      <c r="D73" s="13"/>
      <c r="E73" s="13"/>
      <c r="F73" s="13"/>
      <c r="G73" s="13"/>
      <c r="H73" s="440"/>
      <c r="I73" s="13"/>
      <c r="J73" s="13"/>
      <c r="K73" s="13"/>
      <c r="L73" s="13"/>
      <c r="M73" s="440"/>
      <c r="N73" s="13"/>
      <c r="O73" s="13"/>
      <c r="P73" s="13"/>
      <c r="Q73" s="13"/>
      <c r="R73" s="440"/>
      <c r="S73" s="8">
        <v>0.32973623945589453</v>
      </c>
      <c r="T73" s="8">
        <v>0.33113186353507951</v>
      </c>
      <c r="U73" s="8">
        <v>0.32805405289986861</v>
      </c>
      <c r="V73" s="8">
        <v>0.3254986054448703</v>
      </c>
      <c r="W73" s="440">
        <v>0.32857387766416124</v>
      </c>
      <c r="X73" s="8">
        <v>0.31761777175639505</v>
      </c>
      <c r="Y73" s="8">
        <v>0.32200000000000001</v>
      </c>
      <c r="Z73" s="8">
        <v>0.32500000000000001</v>
      </c>
      <c r="AA73" s="8">
        <v>0.316</v>
      </c>
      <c r="AB73" s="440">
        <v>0.32</v>
      </c>
      <c r="AC73" s="336">
        <v>0.314</v>
      </c>
      <c r="AD73" s="336">
        <v>0.31900000000000001</v>
      </c>
      <c r="AE73" s="336">
        <v>0.315</v>
      </c>
      <c r="AF73" s="336">
        <v>0.313</v>
      </c>
      <c r="AG73" s="440">
        <v>0.315</v>
      </c>
      <c r="AH73" s="336">
        <v>0.315</v>
      </c>
      <c r="AI73" s="336">
        <v>0.32</v>
      </c>
      <c r="AJ73" s="336">
        <v>0.33100000000000002</v>
      </c>
      <c r="AK73" s="336">
        <v>0.33</v>
      </c>
      <c r="AL73" s="440">
        <v>0.32400000000000001</v>
      </c>
      <c r="AM73" s="336">
        <v>0.33</v>
      </c>
      <c r="AN73" s="336">
        <v>0.32300000000000001</v>
      </c>
      <c r="AO73" s="336">
        <v>0.315</v>
      </c>
      <c r="AP73" s="336">
        <v>0.313</v>
      </c>
      <c r="AQ73" s="440">
        <v>0.32</v>
      </c>
      <c r="AR73" s="336">
        <v>0.30599999999999999</v>
      </c>
      <c r="AS73" s="336">
        <v>0.30499999999999999</v>
      </c>
      <c r="AT73" s="336">
        <v>0.29299999999999998</v>
      </c>
      <c r="AU73" s="336">
        <v>0.28899999999999998</v>
      </c>
      <c r="AV73" s="440">
        <v>0.29799999999999999</v>
      </c>
      <c r="AW73" s="336">
        <v>0.28094200801136954</v>
      </c>
      <c r="AX73" s="336">
        <v>0.27500000000000002</v>
      </c>
      <c r="AY73" s="336">
        <v>0.27800000000000002</v>
      </c>
      <c r="AZ73" s="336">
        <v>0.26400000000000001</v>
      </c>
      <c r="BA73" s="440">
        <v>0.27400000000000002</v>
      </c>
      <c r="BB73" s="336">
        <v>0.27500000000000002</v>
      </c>
      <c r="BC73" s="336">
        <v>0.27200000000000002</v>
      </c>
      <c r="BD73" s="336">
        <v>0.27800000000000002</v>
      </c>
      <c r="BE73" s="336">
        <v>0.28399999999999997</v>
      </c>
      <c r="BF73" s="440">
        <v>0.27700000000000002</v>
      </c>
      <c r="BG73" s="336">
        <v>0.27900000000000003</v>
      </c>
      <c r="BH73" s="336">
        <v>0.27700000000000002</v>
      </c>
      <c r="BI73" s="336">
        <v>0.28199999999999997</v>
      </c>
      <c r="BJ73" s="336">
        <v>0.28000000000000003</v>
      </c>
      <c r="BK73" s="440">
        <v>0.27900000000000003</v>
      </c>
      <c r="BL73" s="336">
        <v>0.27900000000000003</v>
      </c>
      <c r="BM73" s="336">
        <v>0.28000000000000003</v>
      </c>
      <c r="BN73" s="336"/>
      <c r="BO73" s="336"/>
      <c r="BP73" s="440">
        <v>0.27900000000000003</v>
      </c>
    </row>
    <row r="74" spans="2:68" s="39" customFormat="1">
      <c r="B74" s="218"/>
      <c r="C74" s="74" t="s">
        <v>318</v>
      </c>
      <c r="D74" s="13"/>
      <c r="E74" s="13"/>
      <c r="F74" s="13"/>
      <c r="G74" s="13"/>
      <c r="H74" s="440"/>
      <c r="I74" s="13"/>
      <c r="J74" s="13"/>
      <c r="K74" s="13"/>
      <c r="L74" s="13"/>
      <c r="M74" s="440"/>
      <c r="N74" s="13"/>
      <c r="O74" s="13"/>
      <c r="P74" s="13"/>
      <c r="Q74" s="13"/>
      <c r="R74" s="440"/>
      <c r="S74" s="8">
        <v>9.3003083642893711E-2</v>
      </c>
      <c r="T74" s="8">
        <v>9.374726736508425E-2</v>
      </c>
      <c r="U74" s="8">
        <v>9.5600579551504403E-2</v>
      </c>
      <c r="V74" s="8">
        <v>9.5919896528378734E-2</v>
      </c>
      <c r="W74" s="440">
        <v>9.4590816296365385E-2</v>
      </c>
      <c r="X74" s="8">
        <v>9.6012982037273653E-2</v>
      </c>
      <c r="Y74" s="8">
        <v>9.6000000000000002E-2</v>
      </c>
      <c r="Z74" s="8">
        <v>0.10100000000000001</v>
      </c>
      <c r="AA74" s="8">
        <v>0.1</v>
      </c>
      <c r="AB74" s="440">
        <v>9.8000000000000004E-2</v>
      </c>
      <c r="AC74" s="336">
        <v>9.6000000000000002E-2</v>
      </c>
      <c r="AD74" s="336">
        <v>0.10100000000000001</v>
      </c>
      <c r="AE74" s="336">
        <v>0.10299999999999999</v>
      </c>
      <c r="AF74" s="8">
        <v>0.10100000000000001</v>
      </c>
      <c r="AG74" s="440">
        <v>0.10100000000000001</v>
      </c>
      <c r="AH74" s="336">
        <v>9.5000000000000001E-2</v>
      </c>
      <c r="AI74" s="336">
        <v>9.0999999999999998E-2</v>
      </c>
      <c r="AJ74" s="336">
        <v>9.2999999999999999E-2</v>
      </c>
      <c r="AK74" s="8">
        <v>9.6000000000000002E-2</v>
      </c>
      <c r="AL74" s="440">
        <v>9.4E-2</v>
      </c>
      <c r="AM74" s="336">
        <v>9.7000000000000003E-2</v>
      </c>
      <c r="AN74" s="336">
        <v>0.109</v>
      </c>
      <c r="AO74" s="336">
        <v>0.113</v>
      </c>
      <c r="AP74" s="8">
        <v>0.11799999999999999</v>
      </c>
      <c r="AQ74" s="440">
        <v>0.109</v>
      </c>
      <c r="AR74" s="336">
        <v>0.121</v>
      </c>
      <c r="AS74" s="336">
        <v>0.128</v>
      </c>
      <c r="AT74" s="336">
        <v>0.13300000000000001</v>
      </c>
      <c r="AU74" s="8">
        <v>0.13500000000000001</v>
      </c>
      <c r="AV74" s="440">
        <v>0.129</v>
      </c>
      <c r="AW74" s="336">
        <v>0.14126034323251915</v>
      </c>
      <c r="AX74" s="336">
        <v>0.14299999999999999</v>
      </c>
      <c r="AY74" s="336">
        <v>0.14899999999999999</v>
      </c>
      <c r="AZ74" s="8">
        <v>0.14699999999999999</v>
      </c>
      <c r="BA74" s="440">
        <v>0.14499999999999999</v>
      </c>
      <c r="BB74" s="336">
        <v>0.14699999999999999</v>
      </c>
      <c r="BC74" s="336">
        <v>0.157</v>
      </c>
      <c r="BD74" s="336">
        <v>0.155</v>
      </c>
      <c r="BE74" s="8">
        <v>0.159</v>
      </c>
      <c r="BF74" s="440">
        <v>0.155</v>
      </c>
      <c r="BG74" s="336">
        <v>0.161</v>
      </c>
      <c r="BH74" s="336">
        <v>0.16500000000000001</v>
      </c>
      <c r="BI74" s="336">
        <v>0.16700000000000001</v>
      </c>
      <c r="BJ74" s="8">
        <v>0.159</v>
      </c>
      <c r="BK74" s="440">
        <v>0.16300000000000001</v>
      </c>
      <c r="BL74" s="336">
        <v>0.159</v>
      </c>
      <c r="BM74" s="336">
        <v>0.16</v>
      </c>
      <c r="BN74" s="336"/>
      <c r="BO74" s="8"/>
      <c r="BP74" s="440">
        <v>0.16</v>
      </c>
    </row>
    <row r="75" spans="2:68" s="39" customFormat="1">
      <c r="B75" s="218"/>
      <c r="C75" s="74" t="s">
        <v>319</v>
      </c>
      <c r="D75" s="13"/>
      <c r="E75" s="13"/>
      <c r="F75" s="13"/>
      <c r="G75" s="13"/>
      <c r="H75" s="440"/>
      <c r="I75" s="13"/>
      <c r="J75" s="13"/>
      <c r="K75" s="13"/>
      <c r="L75" s="13"/>
      <c r="M75" s="440"/>
      <c r="N75" s="13"/>
      <c r="O75" s="13"/>
      <c r="P75" s="13"/>
      <c r="Q75" s="13"/>
      <c r="R75" s="440"/>
      <c r="S75" s="8">
        <v>0.11312173038248324</v>
      </c>
      <c r="T75" s="8">
        <v>0.11717773106635089</v>
      </c>
      <c r="U75" s="8">
        <v>0.12001070478223559</v>
      </c>
      <c r="V75" s="8">
        <v>0.12011821897407877</v>
      </c>
      <c r="W75" s="440">
        <v>0.11766225496960864</v>
      </c>
      <c r="X75" s="8">
        <v>0.12410966497054082</v>
      </c>
      <c r="Y75" s="8">
        <v>0.12336259419998084</v>
      </c>
      <c r="Z75" s="8">
        <v>0.128</v>
      </c>
      <c r="AA75" s="8">
        <v>0.127</v>
      </c>
      <c r="AB75" s="440">
        <v>0.126</v>
      </c>
      <c r="AC75" s="336">
        <v>0.13</v>
      </c>
      <c r="AD75" s="336">
        <v>0.13100000000000001</v>
      </c>
      <c r="AE75" s="336">
        <v>0.128</v>
      </c>
      <c r="AF75" s="8">
        <v>0.129</v>
      </c>
      <c r="AG75" s="440">
        <v>0.129</v>
      </c>
      <c r="AH75" s="336">
        <v>0.128</v>
      </c>
      <c r="AI75" s="336">
        <v>0.123</v>
      </c>
      <c r="AJ75" s="336">
        <v>0.125</v>
      </c>
      <c r="AK75" s="8">
        <v>0.123</v>
      </c>
      <c r="AL75" s="440">
        <v>0.125</v>
      </c>
      <c r="AM75" s="336">
        <v>0.121</v>
      </c>
      <c r="AN75" s="336">
        <v>0.11799999999999999</v>
      </c>
      <c r="AO75" s="336">
        <v>0.11700000000000001</v>
      </c>
      <c r="AP75" s="8">
        <v>0.12</v>
      </c>
      <c r="AQ75" s="440">
        <v>0.11899999999999999</v>
      </c>
      <c r="AR75" s="336">
        <v>0.124</v>
      </c>
      <c r="AS75" s="336">
        <v>0.123</v>
      </c>
      <c r="AT75" s="336">
        <v>0.13</v>
      </c>
      <c r="AU75" s="8">
        <v>0.129</v>
      </c>
      <c r="AV75" s="440">
        <v>0.126</v>
      </c>
      <c r="AW75" s="336">
        <v>0.12889991445236221</v>
      </c>
      <c r="AX75" s="336">
        <v>0.127</v>
      </c>
      <c r="AY75" s="336">
        <v>0.13100000000000001</v>
      </c>
      <c r="AZ75" s="8">
        <v>0.13400000000000001</v>
      </c>
      <c r="BA75" s="440">
        <v>0.13</v>
      </c>
      <c r="BB75" s="336">
        <v>0.13300000000000001</v>
      </c>
      <c r="BC75" s="336">
        <v>0.13500000000000001</v>
      </c>
      <c r="BD75" s="336">
        <v>0.13500000000000001</v>
      </c>
      <c r="BE75" s="8">
        <v>0.13</v>
      </c>
      <c r="BF75" s="440">
        <v>0.13300000000000001</v>
      </c>
      <c r="BG75" s="336">
        <v>0.13600000000000001</v>
      </c>
      <c r="BH75" s="336">
        <v>0.13400000000000001</v>
      </c>
      <c r="BI75" s="336">
        <v>0.13200000000000001</v>
      </c>
      <c r="BJ75" s="8">
        <v>0.13200000000000001</v>
      </c>
      <c r="BK75" s="440">
        <v>0.13300000000000001</v>
      </c>
      <c r="BL75" s="336">
        <v>0.13400000000000001</v>
      </c>
      <c r="BM75" s="336">
        <v>0.14199999999999999</v>
      </c>
      <c r="BN75" s="336"/>
      <c r="BO75" s="8"/>
      <c r="BP75" s="440">
        <v>0.13800000000000001</v>
      </c>
    </row>
    <row r="76" spans="2:68" s="39" customFormat="1" ht="13.5">
      <c r="B76" s="218"/>
      <c r="C76" s="74" t="s">
        <v>320</v>
      </c>
      <c r="D76" s="13"/>
      <c r="E76" s="13"/>
      <c r="F76" s="13"/>
      <c r="G76" s="13"/>
      <c r="H76" s="440"/>
      <c r="I76" s="13"/>
      <c r="J76" s="13"/>
      <c r="K76" s="13"/>
      <c r="L76" s="13"/>
      <c r="M76" s="440"/>
      <c r="N76" s="13"/>
      <c r="O76" s="13"/>
      <c r="P76" s="13"/>
      <c r="Q76" s="13"/>
      <c r="R76" s="440"/>
      <c r="S76" s="8">
        <v>0.16246157465582917</v>
      </c>
      <c r="T76" s="8">
        <v>0.15959311897548248</v>
      </c>
      <c r="U76" s="8">
        <v>0.16233494025536158</v>
      </c>
      <c r="V76" s="8">
        <v>0.15922511580264503</v>
      </c>
      <c r="W76" s="440">
        <v>0.16088453139531572</v>
      </c>
      <c r="X76" s="8">
        <v>0.16564026209494565</v>
      </c>
      <c r="Y76" s="8">
        <v>0.16800000000000001</v>
      </c>
      <c r="Z76" s="8">
        <v>0.16400000000000001</v>
      </c>
      <c r="AA76" s="8">
        <v>0.159</v>
      </c>
      <c r="AB76" s="440">
        <v>0.16400000000000001</v>
      </c>
      <c r="AC76" s="336">
        <v>0.158</v>
      </c>
      <c r="AD76" s="336">
        <v>0.152</v>
      </c>
      <c r="AE76" s="336">
        <v>0.153</v>
      </c>
      <c r="AF76" s="336">
        <v>0.155</v>
      </c>
      <c r="AG76" s="440">
        <v>0.155</v>
      </c>
      <c r="AH76" s="336">
        <v>0.14299999999999999</v>
      </c>
      <c r="AI76" s="336">
        <v>0.14899999999999999</v>
      </c>
      <c r="AJ76" s="336">
        <v>0.14699999999999999</v>
      </c>
      <c r="AK76" s="336">
        <v>0.14799999999999999</v>
      </c>
      <c r="AL76" s="440">
        <v>0.14699999999999999</v>
      </c>
      <c r="AM76" s="336">
        <v>0.15</v>
      </c>
      <c r="AN76" s="336">
        <v>0.14599999999999999</v>
      </c>
      <c r="AO76" s="336">
        <v>0.14499999999999999</v>
      </c>
      <c r="AP76" s="336">
        <v>0.14299999999999999</v>
      </c>
      <c r="AQ76" s="440">
        <v>0.14599999999999999</v>
      </c>
      <c r="AR76" s="336">
        <v>0.14499999999999999</v>
      </c>
      <c r="AS76" s="336">
        <v>0.14199999999999999</v>
      </c>
      <c r="AT76" s="336">
        <v>0.14299999999999999</v>
      </c>
      <c r="AU76" s="336">
        <v>0.14799999999999999</v>
      </c>
      <c r="AV76" s="440">
        <v>0.14499999999999999</v>
      </c>
      <c r="AW76" s="336">
        <v>0.14535885503523283</v>
      </c>
      <c r="AX76" s="336">
        <v>0.152</v>
      </c>
      <c r="AY76" s="336">
        <v>0.14599999999999999</v>
      </c>
      <c r="AZ76" s="336">
        <v>0.14299999999999999</v>
      </c>
      <c r="BA76" s="440">
        <v>0.14699999999999999</v>
      </c>
      <c r="BB76" s="336">
        <v>0.13800000000000001</v>
      </c>
      <c r="BC76" s="336">
        <v>0.13300000000000001</v>
      </c>
      <c r="BD76" s="336">
        <v>0.13800000000000001</v>
      </c>
      <c r="BE76" s="336">
        <v>0.13300000000000001</v>
      </c>
      <c r="BF76" s="440">
        <v>0.13500000000000001</v>
      </c>
      <c r="BG76" s="336">
        <v>0.13400000000000001</v>
      </c>
      <c r="BH76" s="336">
        <v>0.127</v>
      </c>
      <c r="BI76" s="336">
        <v>0.128</v>
      </c>
      <c r="BJ76" s="336">
        <v>0.128</v>
      </c>
      <c r="BK76" s="440">
        <v>0.129</v>
      </c>
      <c r="BL76" s="336">
        <v>0.128</v>
      </c>
      <c r="BM76" s="336">
        <v>0.115</v>
      </c>
      <c r="BN76" s="336"/>
      <c r="BO76" s="336"/>
      <c r="BP76" s="440">
        <v>0.121</v>
      </c>
    </row>
    <row r="77" spans="2:68" s="39" customFormat="1" ht="13.5">
      <c r="B77" s="218"/>
      <c r="C77" s="74" t="s">
        <v>321</v>
      </c>
      <c r="D77" s="13"/>
      <c r="E77" s="13"/>
      <c r="F77" s="13"/>
      <c r="G77" s="13"/>
      <c r="H77" s="440"/>
      <c r="I77" s="13"/>
      <c r="J77" s="13"/>
      <c r="K77" s="13"/>
      <c r="L77" s="13"/>
      <c r="M77" s="440"/>
      <c r="N77" s="13"/>
      <c r="O77" s="13"/>
      <c r="P77" s="13"/>
      <c r="Q77" s="13"/>
      <c r="R77" s="440"/>
      <c r="S77" s="8">
        <v>0.12594768889275965</v>
      </c>
      <c r="T77" s="8">
        <v>0.12436150634746593</v>
      </c>
      <c r="U77" s="8">
        <v>0.12440724881071845</v>
      </c>
      <c r="V77" s="8">
        <v>0.12902455956831227</v>
      </c>
      <c r="W77" s="440">
        <v>0.12595321724589104</v>
      </c>
      <c r="X77" s="8">
        <v>0.12703873038628968</v>
      </c>
      <c r="Y77" s="8">
        <v>0.123</v>
      </c>
      <c r="Z77" s="8">
        <v>0.11899999999999999</v>
      </c>
      <c r="AA77" s="8">
        <v>0.13500000000000001</v>
      </c>
      <c r="AB77" s="440">
        <v>0.126</v>
      </c>
      <c r="AC77" s="336">
        <v>0.13800000000000001</v>
      </c>
      <c r="AD77" s="336">
        <v>0.13100000000000001</v>
      </c>
      <c r="AE77" s="336">
        <v>0.13</v>
      </c>
      <c r="AF77" s="336">
        <v>0.13</v>
      </c>
      <c r="AG77" s="440">
        <v>0.13200000000000001</v>
      </c>
      <c r="AH77" s="336">
        <v>0.13400000000000001</v>
      </c>
      <c r="AI77" s="336">
        <v>0.126</v>
      </c>
      <c r="AJ77" s="336">
        <v>0.124</v>
      </c>
      <c r="AK77" s="336">
        <v>0.12</v>
      </c>
      <c r="AL77" s="440">
        <v>0.126</v>
      </c>
      <c r="AM77" s="336">
        <v>0.122</v>
      </c>
      <c r="AN77" s="336">
        <v>0.124</v>
      </c>
      <c r="AO77" s="336">
        <v>0.125</v>
      </c>
      <c r="AP77" s="336">
        <v>0.128</v>
      </c>
      <c r="AQ77" s="440">
        <v>0.125</v>
      </c>
      <c r="AR77" s="336">
        <v>0.13</v>
      </c>
      <c r="AS77" s="336">
        <v>0.123</v>
      </c>
      <c r="AT77" s="336">
        <v>0.123</v>
      </c>
      <c r="AU77" s="336">
        <v>0.11799999999999999</v>
      </c>
      <c r="AV77" s="440">
        <v>0.123</v>
      </c>
      <c r="AW77" s="336">
        <v>0.11705655309946709</v>
      </c>
      <c r="AX77" s="336">
        <v>0.114</v>
      </c>
      <c r="AY77" s="336">
        <v>0.114</v>
      </c>
      <c r="AZ77" s="336">
        <v>0.123</v>
      </c>
      <c r="BA77" s="440">
        <v>0.11700000000000001</v>
      </c>
      <c r="BB77" s="336">
        <v>0.121</v>
      </c>
      <c r="BC77" s="336">
        <v>0.11899999999999999</v>
      </c>
      <c r="BD77" s="336">
        <v>0.112</v>
      </c>
      <c r="BE77" s="336">
        <v>0.11700000000000001</v>
      </c>
      <c r="BF77" s="440">
        <v>0.11700000000000001</v>
      </c>
      <c r="BG77" s="336">
        <v>0.12</v>
      </c>
      <c r="BH77" s="336">
        <v>0.121</v>
      </c>
      <c r="BI77" s="336">
        <v>0.121</v>
      </c>
      <c r="BJ77" s="336">
        <v>0.124</v>
      </c>
      <c r="BK77" s="440">
        <v>0.122</v>
      </c>
      <c r="BL77" s="336">
        <v>0.12</v>
      </c>
      <c r="BM77" s="336">
        <v>0.125</v>
      </c>
      <c r="BN77" s="336"/>
      <c r="BO77" s="336"/>
      <c r="BP77" s="440">
        <v>0.123</v>
      </c>
    </row>
    <row r="78" spans="2:68" s="39" customFormat="1">
      <c r="B78" s="218"/>
      <c r="C78" s="74" t="s">
        <v>322</v>
      </c>
      <c r="D78" s="13"/>
      <c r="E78" s="13"/>
      <c r="F78" s="13"/>
      <c r="G78" s="13"/>
      <c r="H78" s="440"/>
      <c r="I78" s="13"/>
      <c r="J78" s="13"/>
      <c r="K78" s="13"/>
      <c r="L78" s="13"/>
      <c r="M78" s="440"/>
      <c r="N78" s="13"/>
      <c r="O78" s="13"/>
      <c r="P78" s="13"/>
      <c r="Q78" s="13"/>
      <c r="R78" s="440"/>
      <c r="S78" s="8">
        <v>7.3177594803763416E-2</v>
      </c>
      <c r="T78" s="8">
        <v>7.207794166269979E-2</v>
      </c>
      <c r="U78" s="8">
        <v>7.1912407766440589E-2</v>
      </c>
      <c r="V78" s="8">
        <v>7.3861552097285357E-2</v>
      </c>
      <c r="W78" s="440">
        <v>7.2760141597324204E-2</v>
      </c>
      <c r="X78" s="8">
        <v>7.4355845134298923E-2</v>
      </c>
      <c r="Y78" s="8">
        <v>7.4999999999999997E-2</v>
      </c>
      <c r="Z78" s="8">
        <v>7.2999999999999995E-2</v>
      </c>
      <c r="AA78" s="8">
        <v>7.6999999999999999E-2</v>
      </c>
      <c r="AB78" s="440">
        <v>7.4999999999999997E-2</v>
      </c>
      <c r="AC78" s="336">
        <v>7.6999999999999999E-2</v>
      </c>
      <c r="AD78" s="336">
        <v>7.5999999999999998E-2</v>
      </c>
      <c r="AE78" s="336">
        <v>7.5999999999999998E-2</v>
      </c>
      <c r="AF78" s="8">
        <v>7.9000000000000001E-2</v>
      </c>
      <c r="AG78" s="440">
        <v>7.6999999999999999E-2</v>
      </c>
      <c r="AH78" s="336">
        <v>8.6999999999999994E-2</v>
      </c>
      <c r="AI78" s="336">
        <v>9.0999999999999998E-2</v>
      </c>
      <c r="AJ78" s="336">
        <v>8.2000000000000003E-2</v>
      </c>
      <c r="AK78" s="8">
        <v>8.1000000000000003E-2</v>
      </c>
      <c r="AL78" s="440">
        <v>8.5000000000000006E-2</v>
      </c>
      <c r="AM78" s="336">
        <v>8.3000000000000004E-2</v>
      </c>
      <c r="AN78" s="336">
        <v>8.5000000000000006E-2</v>
      </c>
      <c r="AO78" s="336">
        <v>8.1000000000000003E-2</v>
      </c>
      <c r="AP78" s="8">
        <v>8.2000000000000003E-2</v>
      </c>
      <c r="AQ78" s="440">
        <v>8.3000000000000004E-2</v>
      </c>
      <c r="AR78" s="336">
        <v>8.2000000000000003E-2</v>
      </c>
      <c r="AS78" s="336">
        <v>8.2000000000000003E-2</v>
      </c>
      <c r="AT78" s="336">
        <v>8.1000000000000003E-2</v>
      </c>
      <c r="AU78" s="8">
        <v>0.08</v>
      </c>
      <c r="AV78" s="440">
        <v>8.1000000000000003E-2</v>
      </c>
      <c r="AW78" s="336">
        <v>8.0536043816690564E-2</v>
      </c>
      <c r="AX78" s="336">
        <v>7.8E-2</v>
      </c>
      <c r="AY78" s="336">
        <v>7.6999999999999999E-2</v>
      </c>
      <c r="AZ78" s="8">
        <v>8.6999999999999994E-2</v>
      </c>
      <c r="BA78" s="440">
        <v>8.1000000000000003E-2</v>
      </c>
      <c r="BB78" s="336">
        <v>0.08</v>
      </c>
      <c r="BC78" s="336">
        <v>0.08</v>
      </c>
      <c r="BD78" s="336">
        <v>7.9000000000000001E-2</v>
      </c>
      <c r="BE78" s="8">
        <v>8.3000000000000004E-2</v>
      </c>
      <c r="BF78" s="440">
        <v>0.08</v>
      </c>
      <c r="BG78" s="336">
        <v>7.8E-2</v>
      </c>
      <c r="BH78" s="336">
        <v>8.3000000000000004E-2</v>
      </c>
      <c r="BI78" s="336">
        <v>7.3999999999999996E-2</v>
      </c>
      <c r="BJ78" s="8">
        <v>7.6999999999999999E-2</v>
      </c>
      <c r="BK78" s="440">
        <v>7.8E-2</v>
      </c>
      <c r="BL78" s="336">
        <v>7.6999999999999999E-2</v>
      </c>
      <c r="BM78" s="336">
        <v>6.8000000000000005E-2</v>
      </c>
      <c r="BN78" s="336"/>
      <c r="BO78" s="8"/>
      <c r="BP78" s="440">
        <v>7.1999999999999995E-2</v>
      </c>
    </row>
    <row r="79" spans="2:68" s="39" customFormat="1" ht="13.5">
      <c r="B79" s="218"/>
      <c r="C79" s="74" t="s">
        <v>323</v>
      </c>
      <c r="D79" s="13"/>
      <c r="E79" s="13"/>
      <c r="F79" s="13"/>
      <c r="G79" s="13"/>
      <c r="H79" s="440"/>
      <c r="I79" s="13"/>
      <c r="J79" s="13"/>
      <c r="K79" s="13"/>
      <c r="L79" s="13"/>
      <c r="M79" s="440"/>
      <c r="N79" s="13"/>
      <c r="O79" s="13"/>
      <c r="P79" s="13"/>
      <c r="Q79" s="13"/>
      <c r="R79" s="440"/>
      <c r="S79" s="8">
        <v>6.5927213308556748E-2</v>
      </c>
      <c r="T79" s="8">
        <v>6.7785507073655077E-2</v>
      </c>
      <c r="U79" s="8">
        <v>6.5617016782281767E-2</v>
      </c>
      <c r="V79" s="8">
        <v>6.7092915795681912E-2</v>
      </c>
      <c r="W79" s="440">
        <v>6.6611354316527913E-2</v>
      </c>
      <c r="X79" s="8">
        <v>6.5852190625945994E-2</v>
      </c>
      <c r="Y79" s="8">
        <v>6.4000000000000001E-2</v>
      </c>
      <c r="Z79" s="8">
        <v>6.2E-2</v>
      </c>
      <c r="AA79" s="8">
        <v>0.06</v>
      </c>
      <c r="AB79" s="440">
        <v>6.3E-2</v>
      </c>
      <c r="AC79" s="336">
        <v>6.0999999999999999E-2</v>
      </c>
      <c r="AD79" s="336">
        <v>6.4000000000000001E-2</v>
      </c>
      <c r="AE79" s="336">
        <v>6.7000000000000004E-2</v>
      </c>
      <c r="AF79" s="8">
        <v>6.4000000000000001E-2</v>
      </c>
      <c r="AG79" s="440">
        <v>6.4000000000000001E-2</v>
      </c>
      <c r="AH79" s="336">
        <v>6.7000000000000004E-2</v>
      </c>
      <c r="AI79" s="336">
        <v>6.8000000000000005E-2</v>
      </c>
      <c r="AJ79" s="336">
        <v>7.0999999999999994E-2</v>
      </c>
      <c r="AK79" s="8">
        <v>6.8000000000000005E-2</v>
      </c>
      <c r="AL79" s="440">
        <v>6.8000000000000005E-2</v>
      </c>
      <c r="AM79" s="336">
        <v>6.8000000000000005E-2</v>
      </c>
      <c r="AN79" s="336">
        <v>7.0999999999999994E-2</v>
      </c>
      <c r="AO79" s="336">
        <v>7.4999999999999997E-2</v>
      </c>
      <c r="AP79" s="8">
        <v>6.6000000000000003E-2</v>
      </c>
      <c r="AQ79" s="440">
        <v>7.0000000000000007E-2</v>
      </c>
      <c r="AR79" s="336">
        <v>6.5000000000000002E-2</v>
      </c>
      <c r="AS79" s="336">
        <v>6.7000000000000004E-2</v>
      </c>
      <c r="AT79" s="336">
        <v>7.0000000000000007E-2</v>
      </c>
      <c r="AU79" s="8">
        <v>7.1999999999999995E-2</v>
      </c>
      <c r="AV79" s="440">
        <v>6.9000000000000006E-2</v>
      </c>
      <c r="AW79" s="336">
        <v>7.2228757794618487E-2</v>
      </c>
      <c r="AX79" s="336">
        <v>7.8E-2</v>
      </c>
      <c r="AY79" s="336">
        <v>7.5999999999999998E-2</v>
      </c>
      <c r="AZ79" s="8">
        <v>7.2999999999999995E-2</v>
      </c>
      <c r="BA79" s="440">
        <v>7.4999999999999997E-2</v>
      </c>
      <c r="BB79" s="336">
        <v>7.2999999999999995E-2</v>
      </c>
      <c r="BC79" s="336">
        <v>7.2999999999999995E-2</v>
      </c>
      <c r="BD79" s="336">
        <v>7.5999999999999998E-2</v>
      </c>
      <c r="BE79" s="8">
        <v>6.8000000000000005E-2</v>
      </c>
      <c r="BF79" s="440">
        <v>7.2999999999999995E-2</v>
      </c>
      <c r="BG79" s="336">
        <v>6.5000000000000002E-2</v>
      </c>
      <c r="BH79" s="336">
        <v>6.4000000000000001E-2</v>
      </c>
      <c r="BI79" s="336">
        <v>7.1999999999999995E-2</v>
      </c>
      <c r="BJ79" s="8">
        <v>7.2999999999999995E-2</v>
      </c>
      <c r="BK79" s="440">
        <v>6.9000000000000006E-2</v>
      </c>
      <c r="BL79" s="336">
        <v>0.08</v>
      </c>
      <c r="BM79" s="336">
        <v>8.4000000000000005E-2</v>
      </c>
      <c r="BN79" s="336"/>
      <c r="BO79" s="8"/>
      <c r="BP79" s="440">
        <v>8.2000000000000003E-2</v>
      </c>
    </row>
    <row r="80" spans="2:68" s="39" customFormat="1" ht="13.5">
      <c r="B80" s="218"/>
      <c r="C80" s="74" t="s">
        <v>324</v>
      </c>
      <c r="D80" s="13"/>
      <c r="E80" s="13"/>
      <c r="F80" s="13"/>
      <c r="G80" s="13"/>
      <c r="H80" s="440"/>
      <c r="I80" s="13"/>
      <c r="J80" s="13"/>
      <c r="K80" s="13"/>
      <c r="L80" s="13"/>
      <c r="M80" s="440"/>
      <c r="N80" s="13"/>
      <c r="O80" s="13"/>
      <c r="P80" s="13"/>
      <c r="Q80" s="13"/>
      <c r="R80" s="440"/>
      <c r="S80" s="8">
        <v>3.662487485781965E-2</v>
      </c>
      <c r="T80" s="8">
        <v>3.4125063974182045E-2</v>
      </c>
      <c r="U80" s="8">
        <v>3.2063049151588918E-2</v>
      </c>
      <c r="V80" s="8">
        <v>2.9259135788747614E-2</v>
      </c>
      <c r="W80" s="440">
        <v>3.2963806514805898E-2</v>
      </c>
      <c r="X80" s="8">
        <v>2.9372552994310155E-2</v>
      </c>
      <c r="Y80" s="8">
        <v>2.9000000000000001E-2</v>
      </c>
      <c r="Z80" s="8">
        <v>2.8000000000000001E-2</v>
      </c>
      <c r="AA80" s="8">
        <v>2.5999999999999999E-2</v>
      </c>
      <c r="AB80" s="440">
        <v>2.8000000000000001E-2</v>
      </c>
      <c r="AC80" s="336">
        <v>2.5999999999999999E-2</v>
      </c>
      <c r="AD80" s="336">
        <v>2.5999999999999999E-2</v>
      </c>
      <c r="AE80" s="336">
        <v>2.8000000000000001E-2</v>
      </c>
      <c r="AF80" s="336">
        <v>2.9000000000000001E-2</v>
      </c>
      <c r="AG80" s="440">
        <v>2.7E-2</v>
      </c>
      <c r="AH80" s="336">
        <v>3.1E-2</v>
      </c>
      <c r="AI80" s="336">
        <v>3.2000000000000001E-2</v>
      </c>
      <c r="AJ80" s="336">
        <v>2.7E-2</v>
      </c>
      <c r="AK80" s="336">
        <v>3.4000000000000002E-2</v>
      </c>
      <c r="AL80" s="440">
        <v>3.1E-2</v>
      </c>
      <c r="AM80" s="8">
        <v>2.9000000000000001E-2</v>
      </c>
      <c r="AN80" s="336">
        <v>2.4E-2</v>
      </c>
      <c r="AO80" s="336">
        <v>2.9000000000000001E-2</v>
      </c>
      <c r="AP80" s="336">
        <v>0.03</v>
      </c>
      <c r="AQ80" s="440">
        <v>2.8000000000000001E-2</v>
      </c>
      <c r="AR80" s="8">
        <v>2.7E-2</v>
      </c>
      <c r="AS80" s="336">
        <v>0.03</v>
      </c>
      <c r="AT80" s="336">
        <v>2.7E-2</v>
      </c>
      <c r="AU80" s="336">
        <v>2.9000000000000001E-2</v>
      </c>
      <c r="AV80" s="440">
        <v>2.9000000000000001E-2</v>
      </c>
      <c r="AW80" s="8">
        <v>3.3717524557740214E-2</v>
      </c>
      <c r="AX80" s="336">
        <v>3.3000000000000002E-2</v>
      </c>
      <c r="AY80" s="336">
        <v>2.9000000000000001E-2</v>
      </c>
      <c r="AZ80" s="336">
        <v>2.9000000000000001E-2</v>
      </c>
      <c r="BA80" s="440">
        <v>3.1E-2</v>
      </c>
      <c r="BB80" s="8">
        <v>3.3000000000000002E-2</v>
      </c>
      <c r="BC80" s="336">
        <v>3.1E-2</v>
      </c>
      <c r="BD80" s="336">
        <v>2.7E-2</v>
      </c>
      <c r="BE80" s="336">
        <v>2.5999999999999999E-2</v>
      </c>
      <c r="BF80" s="440">
        <v>0.03</v>
      </c>
      <c r="BG80" s="8">
        <v>2.7E-2</v>
      </c>
      <c r="BH80" s="336">
        <v>2.9000000000000001E-2</v>
      </c>
      <c r="BI80" s="336">
        <v>2.4E-2</v>
      </c>
      <c r="BJ80" s="336">
        <v>2.7E-2</v>
      </c>
      <c r="BK80" s="440">
        <v>2.7E-2</v>
      </c>
      <c r="BL80" s="8">
        <v>2.3E-2</v>
      </c>
      <c r="BM80" s="336">
        <v>2.5999999999999999E-2</v>
      </c>
      <c r="BN80" s="336"/>
      <c r="BO80" s="336"/>
      <c r="BP80" s="440">
        <v>2.5000000000000001E-2</v>
      </c>
    </row>
    <row r="81" spans="2:68" s="39" customFormat="1">
      <c r="B81" s="218"/>
      <c r="C81" s="34" t="s">
        <v>301</v>
      </c>
      <c r="D81" s="13"/>
      <c r="E81" s="13"/>
      <c r="F81" s="13"/>
      <c r="G81" s="13"/>
      <c r="H81" s="14"/>
      <c r="I81" s="13"/>
      <c r="J81" s="13"/>
      <c r="K81" s="13"/>
      <c r="L81" s="13"/>
      <c r="M81" s="14"/>
      <c r="N81" s="13"/>
      <c r="O81" s="13"/>
      <c r="P81" s="13"/>
      <c r="Q81" s="13"/>
      <c r="R81" s="14"/>
      <c r="S81" s="8">
        <f t="shared" ref="S81:BH81" si="12">SUM(S73:S80)</f>
        <v>1.0000000000000002</v>
      </c>
      <c r="T81" s="8">
        <f t="shared" si="12"/>
        <v>0.99999999999999989</v>
      </c>
      <c r="U81" s="8">
        <f t="shared" si="12"/>
        <v>1</v>
      </c>
      <c r="V81" s="8">
        <f t="shared" si="12"/>
        <v>1</v>
      </c>
      <c r="W81" s="14">
        <f t="shared" si="12"/>
        <v>1</v>
      </c>
      <c r="X81" s="5">
        <f t="shared" si="12"/>
        <v>0.99999999999999989</v>
      </c>
      <c r="Y81" s="5">
        <f t="shared" si="12"/>
        <v>1.0003625941999807</v>
      </c>
      <c r="Z81" s="5">
        <f t="shared" si="12"/>
        <v>1</v>
      </c>
      <c r="AA81" s="5">
        <f t="shared" si="12"/>
        <v>1</v>
      </c>
      <c r="AB81" s="14">
        <f t="shared" si="12"/>
        <v>1</v>
      </c>
      <c r="AC81" s="337">
        <f t="shared" si="12"/>
        <v>1</v>
      </c>
      <c r="AD81" s="337">
        <f t="shared" si="12"/>
        <v>1</v>
      </c>
      <c r="AE81" s="337">
        <f t="shared" si="12"/>
        <v>1</v>
      </c>
      <c r="AF81" s="337">
        <f t="shared" si="12"/>
        <v>1</v>
      </c>
      <c r="AG81" s="14">
        <f t="shared" si="12"/>
        <v>1</v>
      </c>
      <c r="AH81" s="337">
        <f t="shared" si="12"/>
        <v>1</v>
      </c>
      <c r="AI81" s="337">
        <f t="shared" si="12"/>
        <v>1</v>
      </c>
      <c r="AJ81" s="337">
        <f t="shared" si="12"/>
        <v>1</v>
      </c>
      <c r="AK81" s="337">
        <f t="shared" si="12"/>
        <v>1</v>
      </c>
      <c r="AL81" s="14">
        <f t="shared" si="12"/>
        <v>1</v>
      </c>
      <c r="AM81" s="5">
        <f t="shared" si="12"/>
        <v>1</v>
      </c>
      <c r="AN81" s="5">
        <f t="shared" si="12"/>
        <v>1</v>
      </c>
      <c r="AO81" s="5">
        <f t="shared" si="12"/>
        <v>1</v>
      </c>
      <c r="AP81" s="5">
        <f t="shared" si="12"/>
        <v>1</v>
      </c>
      <c r="AQ81" s="14">
        <f t="shared" si="12"/>
        <v>1</v>
      </c>
      <c r="AR81" s="5">
        <f t="shared" si="12"/>
        <v>0.99999999999999989</v>
      </c>
      <c r="AS81" s="5">
        <f t="shared" si="12"/>
        <v>1</v>
      </c>
      <c r="AT81" s="5">
        <f t="shared" si="12"/>
        <v>1</v>
      </c>
      <c r="AU81" s="5">
        <f t="shared" si="12"/>
        <v>0.99999999999999989</v>
      </c>
      <c r="AV81" s="14">
        <f t="shared" si="12"/>
        <v>0.99999999999999989</v>
      </c>
      <c r="AW81" s="5">
        <f t="shared" si="12"/>
        <v>1</v>
      </c>
      <c r="AX81" s="5">
        <f t="shared" si="12"/>
        <v>1</v>
      </c>
      <c r="AY81" s="5">
        <f t="shared" si="12"/>
        <v>1</v>
      </c>
      <c r="AZ81" s="5">
        <f t="shared" si="12"/>
        <v>1</v>
      </c>
      <c r="BA81" s="14">
        <f t="shared" si="12"/>
        <v>1</v>
      </c>
      <c r="BB81" s="5">
        <f t="shared" si="12"/>
        <v>1</v>
      </c>
      <c r="BC81" s="5">
        <f t="shared" si="12"/>
        <v>1</v>
      </c>
      <c r="BD81" s="5">
        <f t="shared" si="12"/>
        <v>1</v>
      </c>
      <c r="BE81" s="5">
        <f t="shared" si="12"/>
        <v>1</v>
      </c>
      <c r="BF81" s="14">
        <f t="shared" si="12"/>
        <v>1</v>
      </c>
      <c r="BG81" s="5">
        <f t="shared" si="12"/>
        <v>1</v>
      </c>
      <c r="BH81" s="5">
        <f t="shared" si="12"/>
        <v>1</v>
      </c>
      <c r="BI81" s="5">
        <f>SUM(BI73:BI80)</f>
        <v>0.99999999999999989</v>
      </c>
      <c r="BJ81" s="5">
        <f>SUM(BJ73:BJ80)</f>
        <v>1</v>
      </c>
      <c r="BK81" s="14">
        <f>SUM(BK73:BK80)</f>
        <v>1</v>
      </c>
      <c r="BL81" s="5">
        <f>SUM(BL73:BL80)</f>
        <v>1</v>
      </c>
      <c r="BM81" s="5">
        <f>SUM(BM73:BM80)</f>
        <v>1</v>
      </c>
      <c r="BN81" s="5"/>
      <c r="BO81" s="5"/>
      <c r="BP81" s="14">
        <f>SUM(BP73:BP80)</f>
        <v>1</v>
      </c>
    </row>
    <row r="82" spans="2:68" s="39" customFormat="1" ht="12" hidden="1" customHeight="1">
      <c r="B82" s="218"/>
      <c r="C82" s="38"/>
      <c r="G82" s="40"/>
      <c r="H82" s="6"/>
      <c r="L82" s="40"/>
      <c r="M82" s="6"/>
      <c r="Q82" s="40"/>
      <c r="R82" s="6"/>
      <c r="W82" s="6"/>
      <c r="AB82" s="6"/>
      <c r="AC82" s="340"/>
      <c r="AD82" s="340"/>
      <c r="AE82" s="340"/>
      <c r="AF82" s="340"/>
      <c r="AG82" s="6"/>
      <c r="AH82" s="340"/>
      <c r="AI82" s="340"/>
      <c r="AJ82" s="340"/>
      <c r="AK82" s="340"/>
      <c r="AL82" s="6"/>
      <c r="AM82" s="340"/>
      <c r="AN82" s="340"/>
      <c r="AO82" s="340"/>
      <c r="AP82" s="340"/>
      <c r="AQ82" s="6"/>
      <c r="AR82" s="340"/>
      <c r="AS82" s="340"/>
      <c r="AT82" s="340"/>
      <c r="AU82" s="340"/>
      <c r="AV82" s="6"/>
      <c r="AW82" s="340"/>
      <c r="AX82" s="340"/>
      <c r="AY82" s="340"/>
      <c r="AZ82" s="340"/>
      <c r="BA82" s="6"/>
      <c r="BB82" s="340"/>
      <c r="BC82" s="340"/>
      <c r="BD82" s="340"/>
      <c r="BE82" s="340"/>
      <c r="BF82" s="6"/>
      <c r="BG82" s="340"/>
      <c r="BH82" s="340"/>
      <c r="BI82" s="340"/>
      <c r="BJ82" s="340"/>
      <c r="BK82" s="6">
        <f t="shared" si="4"/>
        <v>0</v>
      </c>
      <c r="BL82" s="340"/>
      <c r="BM82" s="340"/>
      <c r="BN82" s="340"/>
      <c r="BO82" s="340"/>
      <c r="BP82" s="6"/>
    </row>
    <row r="83" spans="2:68" ht="12" hidden="1" customHeight="1">
      <c r="B83" s="218" t="s">
        <v>325</v>
      </c>
      <c r="C83" s="2" t="s">
        <v>326</v>
      </c>
      <c r="G83" s="21"/>
      <c r="H83" s="20"/>
      <c r="L83" s="21"/>
      <c r="M83" s="20"/>
      <c r="Q83" s="21"/>
      <c r="R83" s="20"/>
      <c r="W83" s="20"/>
      <c r="AB83" s="20"/>
      <c r="AC83" s="335"/>
      <c r="AD83" s="335"/>
      <c r="AE83" s="335"/>
      <c r="AF83" s="335"/>
      <c r="AG83" s="20"/>
      <c r="AH83" s="335"/>
      <c r="AI83" s="335"/>
      <c r="AJ83" s="335"/>
      <c r="AK83" s="335"/>
      <c r="AL83" s="20"/>
      <c r="AM83" s="335"/>
      <c r="AN83" s="335"/>
      <c r="AO83" s="335"/>
      <c r="AP83" s="335"/>
      <c r="AQ83" s="20"/>
      <c r="AR83" s="335"/>
      <c r="AS83" s="335"/>
      <c r="AT83" s="335"/>
      <c r="AU83" s="335"/>
      <c r="AV83" s="20"/>
      <c r="AW83" s="335"/>
      <c r="AX83" s="335"/>
      <c r="AY83" s="335"/>
      <c r="AZ83" s="335"/>
      <c r="BA83" s="20"/>
      <c r="BB83" s="335"/>
      <c r="BC83" s="335"/>
      <c r="BD83" s="335"/>
      <c r="BE83" s="335"/>
      <c r="BF83" s="20"/>
      <c r="BG83" s="335"/>
      <c r="BH83" s="335"/>
      <c r="BI83" s="335"/>
      <c r="BJ83" s="335"/>
      <c r="BK83" s="20">
        <f t="shared" si="4"/>
        <v>0</v>
      </c>
      <c r="BL83" s="335"/>
      <c r="BM83" s="335"/>
      <c r="BN83" s="335"/>
      <c r="BO83" s="335"/>
      <c r="BP83" s="20"/>
    </row>
    <row r="84" spans="2:68" ht="12" hidden="1" customHeight="1">
      <c r="B84" s="218"/>
      <c r="C84" s="37" t="s">
        <v>327</v>
      </c>
      <c r="D84" s="8">
        <v>0.42215652205269538</v>
      </c>
      <c r="E84" s="8">
        <v>0.432</v>
      </c>
      <c r="F84" s="8">
        <v>0.44700000000000001</v>
      </c>
      <c r="G84" s="10">
        <v>0.45600000000000002</v>
      </c>
      <c r="H84" s="9">
        <v>0.439</v>
      </c>
      <c r="I84" s="8">
        <v>0.439</v>
      </c>
      <c r="J84" s="8">
        <v>0.45100000000000001</v>
      </c>
      <c r="K84" s="8">
        <v>0.45700000000000002</v>
      </c>
      <c r="L84" s="10">
        <v>0.46100000000000002</v>
      </c>
      <c r="M84" s="9">
        <v>0.45200000000000001</v>
      </c>
      <c r="N84" s="8">
        <v>0.46600000000000003</v>
      </c>
      <c r="O84" s="8">
        <v>0.48199999999999998</v>
      </c>
      <c r="P84" s="8">
        <v>0.50700000000000001</v>
      </c>
      <c r="Q84" s="10">
        <v>0.504</v>
      </c>
      <c r="R84" s="9">
        <v>0.49</v>
      </c>
      <c r="S84" s="8">
        <v>0.503</v>
      </c>
      <c r="T84" s="8">
        <v>0.51300000000000001</v>
      </c>
      <c r="U84" s="8">
        <v>0.52700000000000002</v>
      </c>
      <c r="V84" s="8">
        <v>0.52200000000000002</v>
      </c>
      <c r="W84" s="9">
        <v>0.51700000000000002</v>
      </c>
      <c r="X84" s="5"/>
      <c r="Y84" s="8"/>
      <c r="Z84" s="8"/>
      <c r="AA84" s="8"/>
      <c r="AB84" s="9"/>
      <c r="AC84" s="337"/>
      <c r="AD84" s="337"/>
      <c r="AE84" s="337"/>
      <c r="AF84" s="337"/>
      <c r="AG84" s="9"/>
      <c r="AH84" s="337"/>
      <c r="AI84" s="337"/>
      <c r="AJ84" s="337"/>
      <c r="AK84" s="337"/>
      <c r="AL84" s="9"/>
      <c r="AM84" s="337"/>
      <c r="AN84" s="337"/>
      <c r="AO84" s="337"/>
      <c r="AP84" s="337"/>
      <c r="AQ84" s="9"/>
      <c r="AR84" s="337"/>
      <c r="AS84" s="337"/>
      <c r="AT84" s="337"/>
      <c r="AU84" s="337"/>
      <c r="AV84" s="9"/>
      <c r="AW84" s="337"/>
      <c r="AX84" s="337"/>
      <c r="AY84" s="337"/>
      <c r="AZ84" s="337"/>
      <c r="BA84" s="9"/>
      <c r="BB84" s="337"/>
      <c r="BC84" s="337"/>
      <c r="BD84" s="337"/>
      <c r="BE84" s="337"/>
      <c r="BF84" s="9"/>
      <c r="BG84" s="337"/>
      <c r="BH84" s="337"/>
      <c r="BI84" s="337"/>
      <c r="BJ84" s="337"/>
      <c r="BK84" s="9">
        <f t="shared" si="4"/>
        <v>0</v>
      </c>
      <c r="BL84" s="337"/>
      <c r="BM84" s="337"/>
      <c r="BN84" s="337"/>
      <c r="BO84" s="337"/>
      <c r="BP84" s="9"/>
    </row>
    <row r="85" spans="2:68" ht="12" hidden="1" customHeight="1">
      <c r="B85" s="218"/>
      <c r="C85" s="37" t="s">
        <v>328</v>
      </c>
      <c r="D85" s="8">
        <v>0.57784347794730462</v>
      </c>
      <c r="E85" s="8">
        <v>0.56799999999999995</v>
      </c>
      <c r="F85" s="8">
        <v>0.55300000000000005</v>
      </c>
      <c r="G85" s="10">
        <v>0.54400000000000004</v>
      </c>
      <c r="H85" s="9">
        <v>0.56100000000000005</v>
      </c>
      <c r="I85" s="8">
        <v>0.56100000000000005</v>
      </c>
      <c r="J85" s="8">
        <v>0.54900000000000004</v>
      </c>
      <c r="K85" s="8">
        <v>0.54300000000000004</v>
      </c>
      <c r="L85" s="10">
        <v>0.53900000000000003</v>
      </c>
      <c r="M85" s="9">
        <v>0.54800000000000004</v>
      </c>
      <c r="N85" s="8">
        <v>0.53400000000000003</v>
      </c>
      <c r="O85" s="8">
        <v>0.51800000000000002</v>
      </c>
      <c r="P85" s="8">
        <v>0.49299999999999999</v>
      </c>
      <c r="Q85" s="10">
        <v>0.496</v>
      </c>
      <c r="R85" s="9">
        <v>0.51</v>
      </c>
      <c r="S85" s="8">
        <v>0.497</v>
      </c>
      <c r="T85" s="8">
        <v>0.48699999999999999</v>
      </c>
      <c r="U85" s="8">
        <v>0.47299999999999998</v>
      </c>
      <c r="V85" s="8">
        <v>0.47799999999999998</v>
      </c>
      <c r="W85" s="9">
        <v>0.48299999999999998</v>
      </c>
      <c r="X85" s="5"/>
      <c r="Y85" s="8"/>
      <c r="Z85" s="8"/>
      <c r="AA85" s="8"/>
      <c r="AB85" s="9"/>
      <c r="AC85" s="337"/>
      <c r="AD85" s="337"/>
      <c r="AE85" s="337"/>
      <c r="AF85" s="337"/>
      <c r="AG85" s="9"/>
      <c r="AH85" s="337"/>
      <c r="AI85" s="337"/>
      <c r="AJ85" s="337"/>
      <c r="AK85" s="337"/>
      <c r="AL85" s="9"/>
      <c r="AM85" s="337"/>
      <c r="AN85" s="337"/>
      <c r="AO85" s="337"/>
      <c r="AP85" s="337"/>
      <c r="AQ85" s="9"/>
      <c r="AR85" s="337"/>
      <c r="AS85" s="337"/>
      <c r="AT85" s="337"/>
      <c r="AU85" s="337"/>
      <c r="AV85" s="9"/>
      <c r="AW85" s="337"/>
      <c r="AX85" s="337"/>
      <c r="AY85" s="337"/>
      <c r="AZ85" s="337"/>
      <c r="BA85" s="9"/>
      <c r="BB85" s="337"/>
      <c r="BC85" s="337"/>
      <c r="BD85" s="337"/>
      <c r="BE85" s="337"/>
      <c r="BF85" s="9"/>
      <c r="BG85" s="337"/>
      <c r="BH85" s="337"/>
      <c r="BI85" s="337"/>
      <c r="BJ85" s="337"/>
      <c r="BK85" s="9">
        <f t="shared" si="4"/>
        <v>0</v>
      </c>
      <c r="BL85" s="337"/>
      <c r="BM85" s="337"/>
      <c r="BN85" s="337"/>
      <c r="BO85" s="337"/>
      <c r="BP85" s="9"/>
    </row>
    <row r="86" spans="2:68" ht="12" hidden="1" customHeight="1">
      <c r="B86" s="218"/>
      <c r="C86" s="2" t="s">
        <v>301</v>
      </c>
      <c r="D86" s="5">
        <f t="shared" ref="D86:V86" si="13">SUM(D84:D85)</f>
        <v>1</v>
      </c>
      <c r="E86" s="5">
        <f t="shared" si="13"/>
        <v>1</v>
      </c>
      <c r="F86" s="5">
        <f t="shared" si="13"/>
        <v>1</v>
      </c>
      <c r="G86" s="5">
        <f t="shared" si="13"/>
        <v>1</v>
      </c>
      <c r="H86" s="6">
        <f>SUM(H84:H85)</f>
        <v>1</v>
      </c>
      <c r="I86" s="5">
        <f t="shared" si="13"/>
        <v>1</v>
      </c>
      <c r="J86" s="5">
        <f t="shared" si="13"/>
        <v>1</v>
      </c>
      <c r="K86" s="5">
        <f t="shared" si="13"/>
        <v>1</v>
      </c>
      <c r="L86" s="5">
        <f t="shared" si="13"/>
        <v>1</v>
      </c>
      <c r="M86" s="6">
        <f>SUM(M84:M85)</f>
        <v>1</v>
      </c>
      <c r="N86" s="5">
        <f t="shared" si="13"/>
        <v>1</v>
      </c>
      <c r="O86" s="5">
        <f t="shared" si="13"/>
        <v>1</v>
      </c>
      <c r="P86" s="5">
        <f t="shared" si="13"/>
        <v>1</v>
      </c>
      <c r="Q86" s="5">
        <f t="shared" si="13"/>
        <v>1</v>
      </c>
      <c r="R86" s="6">
        <f>SUM(R84:R85)</f>
        <v>1</v>
      </c>
      <c r="S86" s="5">
        <f t="shared" si="13"/>
        <v>1</v>
      </c>
      <c r="T86" s="5">
        <f t="shared" si="13"/>
        <v>1</v>
      </c>
      <c r="U86" s="5">
        <f t="shared" si="13"/>
        <v>1</v>
      </c>
      <c r="V86" s="5">
        <f t="shared" si="13"/>
        <v>1</v>
      </c>
      <c r="W86" s="6">
        <f>SUM(W84:W85)</f>
        <v>1</v>
      </c>
      <c r="X86" s="5"/>
      <c r="Y86" s="5"/>
      <c r="Z86" s="5"/>
      <c r="AA86" s="5"/>
      <c r="AB86" s="6"/>
      <c r="AC86" s="337"/>
      <c r="AD86" s="337"/>
      <c r="AE86" s="337"/>
      <c r="AF86" s="337"/>
      <c r="AG86" s="6"/>
      <c r="AH86" s="337"/>
      <c r="AI86" s="337"/>
      <c r="AJ86" s="337"/>
      <c r="AK86" s="337"/>
      <c r="AL86" s="6"/>
      <c r="AM86" s="337"/>
      <c r="AN86" s="337"/>
      <c r="AO86" s="337"/>
      <c r="AP86" s="337"/>
      <c r="AQ86" s="6"/>
      <c r="AR86" s="337"/>
      <c r="AS86" s="337"/>
      <c r="AT86" s="337"/>
      <c r="AU86" s="337"/>
      <c r="AV86" s="6"/>
      <c r="AW86" s="337"/>
      <c r="AX86" s="337"/>
      <c r="AY86" s="337"/>
      <c r="AZ86" s="337"/>
      <c r="BA86" s="6"/>
      <c r="BB86" s="337"/>
      <c r="BC86" s="337"/>
      <c r="BD86" s="337"/>
      <c r="BE86" s="337"/>
      <c r="BF86" s="6"/>
      <c r="BG86" s="337"/>
      <c r="BH86" s="337"/>
      <c r="BI86" s="337"/>
      <c r="BJ86" s="337"/>
      <c r="BK86" s="6">
        <f t="shared" si="4"/>
        <v>0</v>
      </c>
      <c r="BL86" s="337"/>
      <c r="BM86" s="337"/>
      <c r="BN86" s="337"/>
      <c r="BO86" s="337"/>
      <c r="BP86" s="6"/>
    </row>
    <row r="87" spans="2:68" ht="12" hidden="1" customHeight="1">
      <c r="B87" s="218" t="s">
        <v>325</v>
      </c>
      <c r="C87" s="2" t="s">
        <v>329</v>
      </c>
      <c r="D87" s="5"/>
      <c r="E87" s="5"/>
      <c r="F87" s="5"/>
      <c r="G87" s="5"/>
      <c r="H87" s="6"/>
      <c r="I87" s="5"/>
      <c r="J87" s="5"/>
      <c r="K87" s="5"/>
      <c r="L87" s="5"/>
      <c r="M87" s="6"/>
      <c r="N87" s="5"/>
      <c r="O87" s="5"/>
      <c r="P87" s="5"/>
      <c r="Q87" s="5"/>
      <c r="R87" s="6"/>
      <c r="S87" s="5"/>
      <c r="T87" s="5"/>
      <c r="U87" s="5"/>
      <c r="V87" s="5"/>
      <c r="W87" s="6"/>
      <c r="X87" s="5"/>
      <c r="Y87" s="5"/>
      <c r="Z87" s="5"/>
      <c r="AA87" s="5"/>
      <c r="AB87" s="6"/>
      <c r="AC87" s="337"/>
      <c r="AD87" s="337"/>
      <c r="AE87" s="337"/>
      <c r="AF87" s="337"/>
      <c r="AG87" s="6"/>
      <c r="AH87" s="337"/>
      <c r="AI87" s="337"/>
      <c r="AJ87" s="337"/>
      <c r="AK87" s="337"/>
      <c r="AL87" s="6"/>
      <c r="AM87" s="337"/>
      <c r="AN87" s="337"/>
      <c r="AO87" s="337"/>
      <c r="AP87" s="337"/>
      <c r="AQ87" s="6"/>
      <c r="AR87" s="337"/>
      <c r="AS87" s="337"/>
      <c r="AT87" s="337"/>
      <c r="AU87" s="337"/>
      <c r="AV87" s="6"/>
      <c r="AW87" s="337"/>
      <c r="AX87" s="337"/>
      <c r="AY87" s="337"/>
      <c r="AZ87" s="337"/>
      <c r="BA87" s="6"/>
      <c r="BB87" s="337"/>
      <c r="BC87" s="337"/>
      <c r="BD87" s="337"/>
      <c r="BE87" s="337"/>
      <c r="BF87" s="6"/>
      <c r="BG87" s="337"/>
      <c r="BH87" s="337"/>
      <c r="BI87" s="337"/>
      <c r="BJ87" s="337"/>
      <c r="BK87" s="6">
        <f t="shared" si="4"/>
        <v>0</v>
      </c>
      <c r="BL87" s="337"/>
      <c r="BM87" s="337"/>
      <c r="BN87" s="337"/>
      <c r="BO87" s="337"/>
      <c r="BP87" s="6"/>
    </row>
    <row r="88" spans="2:68" ht="12" hidden="1" customHeight="1">
      <c r="B88" s="218"/>
      <c r="C88" s="37" t="s">
        <v>327</v>
      </c>
      <c r="D88" s="5"/>
      <c r="E88" s="5"/>
      <c r="F88" s="5"/>
      <c r="G88" s="5"/>
      <c r="H88" s="6"/>
      <c r="I88" s="5"/>
      <c r="J88" s="5"/>
      <c r="K88" s="5"/>
      <c r="L88" s="5"/>
      <c r="M88" s="6"/>
      <c r="N88" s="5"/>
      <c r="O88" s="5"/>
      <c r="P88" s="5"/>
      <c r="Q88" s="5"/>
      <c r="R88" s="6"/>
      <c r="S88" s="8">
        <v>0.50700000000000001</v>
      </c>
      <c r="T88" s="8">
        <v>0.51700000000000002</v>
      </c>
      <c r="U88" s="8">
        <v>0.52600000000000002</v>
      </c>
      <c r="V88" s="8">
        <v>0.52100000000000002</v>
      </c>
      <c r="W88" s="6">
        <v>0.51800000000000002</v>
      </c>
      <c r="X88" s="8">
        <v>0.51800000000000002</v>
      </c>
      <c r="Y88" s="8">
        <v>0.52</v>
      </c>
      <c r="Z88" s="8">
        <v>0.53</v>
      </c>
      <c r="AA88" s="8">
        <v>0.53300000000000003</v>
      </c>
      <c r="AB88" s="6">
        <v>0.52500000000000002</v>
      </c>
      <c r="AC88" s="336" t="s">
        <v>266</v>
      </c>
      <c r="AD88" s="336" t="s">
        <v>266</v>
      </c>
      <c r="AE88" s="336"/>
      <c r="AF88" s="336"/>
      <c r="AG88" s="6"/>
      <c r="AH88" s="336"/>
      <c r="AI88" s="336"/>
      <c r="AJ88" s="336"/>
      <c r="AK88" s="336"/>
      <c r="AL88" s="6"/>
      <c r="AM88" s="336"/>
      <c r="AN88" s="336"/>
      <c r="AO88" s="336"/>
      <c r="AP88" s="336"/>
      <c r="AQ88" s="6"/>
      <c r="AR88" s="336"/>
      <c r="AS88" s="336"/>
      <c r="AT88" s="336"/>
      <c r="AU88" s="336"/>
      <c r="AV88" s="6"/>
      <c r="AW88" s="336"/>
      <c r="AX88" s="336"/>
      <c r="AY88" s="336"/>
      <c r="AZ88" s="336"/>
      <c r="BA88" s="6"/>
      <c r="BB88" s="336"/>
      <c r="BC88" s="336"/>
      <c r="BD88" s="336"/>
      <c r="BE88" s="336"/>
      <c r="BF88" s="6"/>
      <c r="BG88" s="336"/>
      <c r="BH88" s="336"/>
      <c r="BI88" s="336"/>
      <c r="BJ88" s="336"/>
      <c r="BK88" s="6">
        <f t="shared" si="4"/>
        <v>0</v>
      </c>
      <c r="BL88" s="336"/>
      <c r="BM88" s="336"/>
      <c r="BN88" s="336"/>
      <c r="BO88" s="336"/>
      <c r="BP88" s="6"/>
    </row>
    <row r="89" spans="2:68" ht="12" hidden="1" customHeight="1">
      <c r="B89" s="218"/>
      <c r="C89" s="37" t="s">
        <v>328</v>
      </c>
      <c r="D89" s="5"/>
      <c r="E89" s="5"/>
      <c r="F89" s="5"/>
      <c r="G89" s="5"/>
      <c r="H89" s="6"/>
      <c r="I89" s="5"/>
      <c r="J89" s="5"/>
      <c r="K89" s="5"/>
      <c r="L89" s="5"/>
      <c r="M89" s="6"/>
      <c r="N89" s="5"/>
      <c r="O89" s="5"/>
      <c r="P89" s="5"/>
      <c r="Q89" s="5"/>
      <c r="R89" s="6"/>
      <c r="S89" s="8">
        <v>0.49299999999999999</v>
      </c>
      <c r="T89" s="8">
        <v>0.48299999999999998</v>
      </c>
      <c r="U89" s="8">
        <v>0.47399999999999998</v>
      </c>
      <c r="V89" s="8">
        <v>0.47899999999999998</v>
      </c>
      <c r="W89" s="6">
        <v>0.48199999999999998</v>
      </c>
      <c r="X89" s="8">
        <v>0.48199999999999998</v>
      </c>
      <c r="Y89" s="8">
        <v>0.48</v>
      </c>
      <c r="Z89" s="8">
        <v>0.47</v>
      </c>
      <c r="AA89" s="8">
        <v>0.46700000000000003</v>
      </c>
      <c r="AB89" s="6">
        <v>0.47499999999999998</v>
      </c>
      <c r="AC89" s="336"/>
      <c r="AD89" s="336"/>
      <c r="AE89" s="336"/>
      <c r="AF89" s="336"/>
      <c r="AG89" s="6"/>
      <c r="AH89" s="336"/>
      <c r="AI89" s="336"/>
      <c r="AJ89" s="336"/>
      <c r="AK89" s="336"/>
      <c r="AL89" s="6"/>
      <c r="AM89" s="336"/>
      <c r="AN89" s="336"/>
      <c r="AO89" s="336"/>
      <c r="AP89" s="336"/>
      <c r="AQ89" s="6"/>
      <c r="AR89" s="336"/>
      <c r="AS89" s="336"/>
      <c r="AT89" s="336"/>
      <c r="AU89" s="336"/>
      <c r="AV89" s="6"/>
      <c r="AW89" s="336"/>
      <c r="AX89" s="336"/>
      <c r="AY89" s="336"/>
      <c r="AZ89" s="336"/>
      <c r="BA89" s="6"/>
      <c r="BB89" s="336"/>
      <c r="BC89" s="336"/>
      <c r="BD89" s="336"/>
      <c r="BE89" s="336"/>
      <c r="BF89" s="6"/>
      <c r="BG89" s="336"/>
      <c r="BH89" s="336"/>
      <c r="BI89" s="336"/>
      <c r="BJ89" s="336"/>
      <c r="BK89" s="6">
        <f t="shared" si="4"/>
        <v>0</v>
      </c>
      <c r="BL89" s="336"/>
      <c r="BM89" s="336"/>
      <c r="BN89" s="336"/>
      <c r="BO89" s="336"/>
      <c r="BP89" s="6"/>
    </row>
    <row r="90" spans="2:68" ht="12.75" hidden="1" customHeight="1">
      <c r="B90" s="218"/>
      <c r="C90" s="2"/>
      <c r="G90" s="21"/>
      <c r="H90" s="28"/>
      <c r="L90" s="21"/>
      <c r="M90" s="28"/>
      <c r="Q90" s="21"/>
      <c r="R90" s="28"/>
      <c r="W90" s="28"/>
      <c r="AB90" s="28"/>
      <c r="AC90" s="335"/>
      <c r="AD90" s="335"/>
      <c r="AE90" s="335"/>
      <c r="AF90" s="335"/>
      <c r="AG90" s="28"/>
      <c r="AH90" s="335"/>
      <c r="AI90" s="335"/>
      <c r="AJ90" s="335"/>
      <c r="AK90" s="335"/>
      <c r="AL90" s="28"/>
      <c r="AM90" s="335"/>
      <c r="AN90" s="335"/>
      <c r="AO90" s="335"/>
      <c r="AP90" s="335"/>
      <c r="AQ90" s="28"/>
      <c r="AR90" s="335"/>
      <c r="AS90" s="335"/>
      <c r="AT90" s="335"/>
      <c r="AU90" s="335"/>
      <c r="AV90" s="28"/>
      <c r="AW90" s="335"/>
      <c r="AX90" s="335"/>
      <c r="AY90" s="335"/>
      <c r="AZ90" s="335"/>
      <c r="BA90" s="28"/>
      <c r="BB90" s="335"/>
      <c r="BC90" s="335"/>
      <c r="BD90" s="335"/>
      <c r="BE90" s="335"/>
      <c r="BF90" s="28"/>
      <c r="BG90" s="335"/>
      <c r="BH90" s="335"/>
      <c r="BI90" s="335"/>
      <c r="BJ90" s="335"/>
      <c r="BK90" s="28">
        <f t="shared" si="4"/>
        <v>0</v>
      </c>
      <c r="BL90" s="335"/>
      <c r="BM90" s="335"/>
      <c r="BN90" s="335"/>
      <c r="BO90" s="335"/>
      <c r="BP90" s="28"/>
    </row>
    <row r="91" spans="2:68" ht="12" hidden="1" customHeight="1">
      <c r="B91" s="218" t="s">
        <v>330</v>
      </c>
      <c r="C91" s="2" t="s">
        <v>331</v>
      </c>
      <c r="D91" s="19"/>
      <c r="E91" s="19"/>
      <c r="F91" s="19"/>
      <c r="G91" s="19"/>
      <c r="H91" s="9"/>
      <c r="I91" s="19"/>
      <c r="J91" s="19"/>
      <c r="K91" s="42"/>
      <c r="L91" s="19"/>
      <c r="M91" s="9"/>
      <c r="N91" s="19"/>
      <c r="O91" s="19"/>
      <c r="P91" s="42"/>
      <c r="Q91" s="19"/>
      <c r="R91" s="9"/>
      <c r="S91" s="19"/>
      <c r="T91" s="19"/>
      <c r="U91" s="19"/>
      <c r="V91" s="19"/>
      <c r="W91" s="9"/>
      <c r="X91" s="390" t="s">
        <v>266</v>
      </c>
      <c r="Y91" s="19"/>
      <c r="Z91" s="19"/>
      <c r="AA91" s="19"/>
      <c r="AB91" s="9"/>
      <c r="AC91" s="386" t="s">
        <v>266</v>
      </c>
      <c r="AD91" s="386" t="s">
        <v>266</v>
      </c>
      <c r="AE91" s="386"/>
      <c r="AF91" s="386"/>
      <c r="AG91" s="9"/>
      <c r="AH91" s="386"/>
      <c r="AI91" s="386"/>
      <c r="AJ91" s="386"/>
      <c r="AK91" s="386"/>
      <c r="AL91" s="9"/>
      <c r="AM91" s="386"/>
      <c r="AN91" s="386"/>
      <c r="AO91" s="386"/>
      <c r="AP91" s="386"/>
      <c r="AQ91" s="9"/>
      <c r="AR91" s="386"/>
      <c r="AS91" s="386"/>
      <c r="AT91" s="386"/>
      <c r="AU91" s="386"/>
      <c r="AV91" s="9"/>
      <c r="AW91" s="386"/>
      <c r="AX91" s="386"/>
      <c r="AY91" s="386"/>
      <c r="AZ91" s="386"/>
      <c r="BA91" s="9"/>
      <c r="BB91" s="386"/>
      <c r="BC91" s="401"/>
      <c r="BD91" s="401"/>
      <c r="BE91" s="401"/>
      <c r="BF91" s="9"/>
      <c r="BG91" s="386"/>
      <c r="BH91" s="401"/>
      <c r="BI91" s="401"/>
      <c r="BJ91" s="401"/>
      <c r="BK91" s="9">
        <f t="shared" si="4"/>
        <v>0</v>
      </c>
      <c r="BL91" s="386"/>
      <c r="BM91" s="401"/>
      <c r="BN91" s="401"/>
      <c r="BO91" s="401"/>
      <c r="BP91" s="9"/>
    </row>
    <row r="92" spans="2:68" ht="12" hidden="1" customHeight="1">
      <c r="B92" s="218"/>
      <c r="C92" s="2"/>
      <c r="D92" s="19"/>
      <c r="E92" s="19"/>
      <c r="F92" s="19"/>
      <c r="G92" s="19"/>
      <c r="H92" s="28"/>
      <c r="I92" s="19"/>
      <c r="J92" s="19"/>
      <c r="K92" s="19"/>
      <c r="L92" s="29"/>
      <c r="M92" s="28"/>
      <c r="N92" s="19"/>
      <c r="O92" s="19"/>
      <c r="P92" s="19"/>
      <c r="Q92" s="19"/>
      <c r="R92" s="28"/>
      <c r="S92" s="19"/>
      <c r="T92" s="19"/>
      <c r="U92" s="19"/>
      <c r="V92" s="19"/>
      <c r="W92" s="28"/>
      <c r="X92" s="390"/>
      <c r="Y92" s="19"/>
      <c r="Z92" s="19"/>
      <c r="AA92" s="19"/>
      <c r="AB92" s="28"/>
      <c r="AC92" s="386"/>
      <c r="AD92" s="386"/>
      <c r="AE92" s="386"/>
      <c r="AF92" s="386"/>
      <c r="AG92" s="28"/>
      <c r="AH92" s="386"/>
      <c r="AI92" s="386"/>
      <c r="AJ92" s="386"/>
      <c r="AK92" s="386"/>
      <c r="AL92" s="28"/>
      <c r="AM92" s="386"/>
      <c r="AN92" s="386"/>
      <c r="AO92" s="386"/>
      <c r="AP92" s="386"/>
      <c r="AQ92" s="28"/>
      <c r="AR92" s="386"/>
      <c r="AS92" s="386"/>
      <c r="AT92" s="386"/>
      <c r="AU92" s="386"/>
      <c r="AV92" s="28"/>
      <c r="AW92" s="386"/>
      <c r="AX92" s="386"/>
      <c r="AY92" s="386"/>
      <c r="AZ92" s="386"/>
      <c r="BA92" s="28"/>
      <c r="BB92" s="386"/>
      <c r="BC92" s="401"/>
      <c r="BD92" s="401"/>
      <c r="BE92" s="401"/>
      <c r="BF92" s="28"/>
      <c r="BG92" s="386"/>
      <c r="BH92" s="401"/>
      <c r="BI92" s="401"/>
      <c r="BJ92" s="401"/>
      <c r="BK92" s="28">
        <f t="shared" si="4"/>
        <v>0</v>
      </c>
      <c r="BL92" s="386"/>
      <c r="BM92" s="401"/>
      <c r="BN92" s="401"/>
      <c r="BO92" s="401"/>
      <c r="BP92" s="28"/>
    </row>
    <row r="93" spans="2:68" s="39" customFormat="1" ht="12" hidden="1" customHeight="1">
      <c r="B93" s="218"/>
      <c r="C93" s="2" t="s">
        <v>332</v>
      </c>
      <c r="D93" s="5">
        <f t="shared" ref="D93:V93" si="14">SUM(D94:D100)</f>
        <v>0.62900000000000011</v>
      </c>
      <c r="E93" s="5">
        <f t="shared" si="14"/>
        <v>0.63000000000000012</v>
      </c>
      <c r="F93" s="5">
        <f t="shared" si="14"/>
        <v>0.62800000000000011</v>
      </c>
      <c r="G93" s="5">
        <f t="shared" si="14"/>
        <v>0.62300000000000011</v>
      </c>
      <c r="H93" s="6">
        <f>SUM(H94:H100)</f>
        <v>0.62700000000000011</v>
      </c>
      <c r="I93" s="5">
        <f t="shared" si="14"/>
        <v>0.62300000000000011</v>
      </c>
      <c r="J93" s="5">
        <f t="shared" si="14"/>
        <v>0.62300000000000011</v>
      </c>
      <c r="K93" s="5">
        <f t="shared" si="14"/>
        <v>0.6120000000000001</v>
      </c>
      <c r="L93" s="5">
        <f t="shared" si="14"/>
        <v>0.6160000000000001</v>
      </c>
      <c r="M93" s="6">
        <f>SUM(M94:M100)</f>
        <v>0.6180000000000001</v>
      </c>
      <c r="N93" s="5">
        <f t="shared" si="14"/>
        <v>0.62400000000000011</v>
      </c>
      <c r="O93" s="5">
        <f t="shared" si="14"/>
        <v>0.62800000000000011</v>
      </c>
      <c r="P93" s="5">
        <f t="shared" si="14"/>
        <v>0.62000000000000011</v>
      </c>
      <c r="Q93" s="5">
        <f t="shared" si="14"/>
        <v>0.61900000000000011</v>
      </c>
      <c r="R93" s="6">
        <f>SUM(R94:R100)</f>
        <v>0.62300000000000011</v>
      </c>
      <c r="S93" s="5">
        <f t="shared" si="14"/>
        <v>0.62000000000000011</v>
      </c>
      <c r="T93" s="5">
        <f t="shared" si="14"/>
        <v>0.62300000000000011</v>
      </c>
      <c r="U93" s="5">
        <f t="shared" si="14"/>
        <v>0.61900000000000011</v>
      </c>
      <c r="V93" s="5">
        <f t="shared" si="14"/>
        <v>0.62700000000000011</v>
      </c>
      <c r="W93" s="6">
        <f>SUM(W94:W100)</f>
        <v>0.62300000000000011</v>
      </c>
      <c r="X93" s="390"/>
      <c r="Y93" s="5"/>
      <c r="Z93" s="5"/>
      <c r="AA93" s="5"/>
      <c r="AB93" s="6"/>
      <c r="AC93" s="386"/>
      <c r="AD93" s="386"/>
      <c r="AE93" s="386"/>
      <c r="AF93" s="386"/>
      <c r="AG93" s="6"/>
      <c r="AH93" s="386"/>
      <c r="AI93" s="386"/>
      <c r="AJ93" s="386"/>
      <c r="AK93" s="386"/>
      <c r="AL93" s="6"/>
      <c r="AM93" s="386"/>
      <c r="AN93" s="386"/>
      <c r="AO93" s="386"/>
      <c r="AP93" s="386"/>
      <c r="AQ93" s="6"/>
      <c r="AR93" s="386"/>
      <c r="AS93" s="386"/>
      <c r="AT93" s="386"/>
      <c r="AU93" s="386"/>
      <c r="AV93" s="6"/>
      <c r="AW93" s="386"/>
      <c r="AX93" s="386"/>
      <c r="AY93" s="386"/>
      <c r="AZ93" s="386"/>
      <c r="BA93" s="6"/>
      <c r="BB93" s="386"/>
      <c r="BC93" s="401"/>
      <c r="BD93" s="401"/>
      <c r="BE93" s="401"/>
      <c r="BF93" s="6"/>
      <c r="BG93" s="386"/>
      <c r="BH93" s="401"/>
      <c r="BI93" s="401"/>
      <c r="BJ93" s="401"/>
      <c r="BK93" s="6">
        <f t="shared" si="4"/>
        <v>0</v>
      </c>
      <c r="BL93" s="386"/>
      <c r="BM93" s="401"/>
      <c r="BN93" s="401"/>
      <c r="BO93" s="401"/>
      <c r="BP93" s="6"/>
    </row>
    <row r="94" spans="2:68" ht="12" hidden="1" customHeight="1">
      <c r="B94" s="218"/>
      <c r="C94" s="3" t="s">
        <v>333</v>
      </c>
      <c r="D94" s="8">
        <v>0.158</v>
      </c>
      <c r="E94" s="8">
        <v>0.161</v>
      </c>
      <c r="F94" s="8">
        <v>0.14899999999999999</v>
      </c>
      <c r="G94" s="10">
        <v>0.14299999999999999</v>
      </c>
      <c r="H94" s="9">
        <v>0.153</v>
      </c>
      <c r="I94" s="8">
        <v>0.14000000000000001</v>
      </c>
      <c r="J94" s="8">
        <v>0.14000000000000001</v>
      </c>
      <c r="K94" s="8">
        <v>0.14099999999999999</v>
      </c>
      <c r="L94" s="10">
        <v>0.13700000000000001</v>
      </c>
      <c r="M94" s="9">
        <v>0.14000000000000001</v>
      </c>
      <c r="N94" s="8">
        <v>0.14399999999999999</v>
      </c>
      <c r="O94" s="8">
        <v>0.156</v>
      </c>
      <c r="P94" s="8">
        <v>0.155</v>
      </c>
      <c r="Q94" s="8">
        <v>0.153</v>
      </c>
      <c r="R94" s="9">
        <v>0.152</v>
      </c>
      <c r="S94" s="8">
        <v>0.154</v>
      </c>
      <c r="T94" s="8">
        <v>0.156</v>
      </c>
      <c r="U94" s="8">
        <v>0.154</v>
      </c>
      <c r="V94" s="8">
        <v>0.155</v>
      </c>
      <c r="W94" s="9">
        <v>0.155</v>
      </c>
      <c r="X94" s="390"/>
      <c r="Y94" s="8"/>
      <c r="Z94" s="8"/>
      <c r="AA94" s="8"/>
      <c r="AB94" s="9"/>
      <c r="AC94" s="386"/>
      <c r="AD94" s="386"/>
      <c r="AE94" s="386"/>
      <c r="AF94" s="386"/>
      <c r="AG94" s="9"/>
      <c r="AH94" s="386"/>
      <c r="AI94" s="386"/>
      <c r="AJ94" s="386"/>
      <c r="AK94" s="386"/>
      <c r="AL94" s="9"/>
      <c r="AM94" s="386"/>
      <c r="AN94" s="386"/>
      <c r="AO94" s="386"/>
      <c r="AP94" s="386"/>
      <c r="AQ94" s="9"/>
      <c r="AR94" s="386"/>
      <c r="AS94" s="386"/>
      <c r="AT94" s="386"/>
      <c r="AU94" s="386"/>
      <c r="AV94" s="9"/>
      <c r="AW94" s="386"/>
      <c r="AX94" s="386"/>
      <c r="AY94" s="386"/>
      <c r="AZ94" s="386"/>
      <c r="BA94" s="9"/>
      <c r="BB94" s="386"/>
      <c r="BC94" s="401"/>
      <c r="BD94" s="401"/>
      <c r="BE94" s="401"/>
      <c r="BF94" s="9"/>
      <c r="BG94" s="386"/>
      <c r="BH94" s="401"/>
      <c r="BI94" s="401"/>
      <c r="BJ94" s="401"/>
      <c r="BK94" s="9">
        <f t="shared" si="4"/>
        <v>0</v>
      </c>
      <c r="BL94" s="386"/>
      <c r="BM94" s="401"/>
      <c r="BN94" s="401"/>
      <c r="BO94" s="401"/>
      <c r="BP94" s="9"/>
    </row>
    <row r="95" spans="2:68" ht="12" hidden="1" customHeight="1">
      <c r="B95" s="218"/>
      <c r="C95" s="3" t="s">
        <v>334</v>
      </c>
      <c r="D95" s="8">
        <v>0.187</v>
      </c>
      <c r="E95" s="8">
        <v>0.189</v>
      </c>
      <c r="F95" s="8">
        <v>0.19500000000000001</v>
      </c>
      <c r="G95" s="10">
        <v>0.19700000000000001</v>
      </c>
      <c r="H95" s="9">
        <v>0.192</v>
      </c>
      <c r="I95" s="8">
        <v>0.19900000000000001</v>
      </c>
      <c r="J95" s="8">
        <v>0.19600000000000001</v>
      </c>
      <c r="K95" s="8">
        <v>0.191</v>
      </c>
      <c r="L95" s="10">
        <v>0.19700000000000001</v>
      </c>
      <c r="M95" s="9">
        <v>0.19600000000000001</v>
      </c>
      <c r="N95" s="8">
        <v>0.19500000000000001</v>
      </c>
      <c r="O95" s="8">
        <v>0.18099999999999999</v>
      </c>
      <c r="P95" s="8">
        <v>0.17</v>
      </c>
      <c r="Q95" s="8">
        <v>0.16800000000000001</v>
      </c>
      <c r="R95" s="9">
        <v>0.17899999999999999</v>
      </c>
      <c r="S95" s="8">
        <v>0.16700000000000001</v>
      </c>
      <c r="T95" s="8">
        <v>0.16</v>
      </c>
      <c r="U95" s="8">
        <v>0.16200000000000001</v>
      </c>
      <c r="V95" s="8">
        <v>0.156</v>
      </c>
      <c r="W95" s="9">
        <v>0.161</v>
      </c>
      <c r="X95" s="390"/>
      <c r="Y95" s="8"/>
      <c r="Z95" s="8"/>
      <c r="AA95" s="8"/>
      <c r="AB95" s="9"/>
      <c r="AC95" s="386"/>
      <c r="AD95" s="386"/>
      <c r="AE95" s="386"/>
      <c r="AF95" s="386"/>
      <c r="AG95" s="9"/>
      <c r="AH95" s="386"/>
      <c r="AI95" s="386"/>
      <c r="AJ95" s="386"/>
      <c r="AK95" s="386"/>
      <c r="AL95" s="9"/>
      <c r="AM95" s="386"/>
      <c r="AN95" s="386"/>
      <c r="AO95" s="386"/>
      <c r="AP95" s="386"/>
      <c r="AQ95" s="9"/>
      <c r="AR95" s="386"/>
      <c r="AS95" s="386"/>
      <c r="AT95" s="386"/>
      <c r="AU95" s="386"/>
      <c r="AV95" s="9"/>
      <c r="AW95" s="386"/>
      <c r="AX95" s="386"/>
      <c r="AY95" s="386"/>
      <c r="AZ95" s="386"/>
      <c r="BA95" s="9"/>
      <c r="BB95" s="386"/>
      <c r="BC95" s="401"/>
      <c r="BD95" s="401"/>
      <c r="BE95" s="401"/>
      <c r="BF95" s="9"/>
      <c r="BG95" s="386"/>
      <c r="BH95" s="401"/>
      <c r="BI95" s="401"/>
      <c r="BJ95" s="401"/>
      <c r="BK95" s="9">
        <f t="shared" si="4"/>
        <v>0</v>
      </c>
      <c r="BL95" s="386"/>
      <c r="BM95" s="401"/>
      <c r="BN95" s="401"/>
      <c r="BO95" s="401"/>
      <c r="BP95" s="9"/>
    </row>
    <row r="96" spans="2:68" ht="12" hidden="1" customHeight="1">
      <c r="B96" s="218"/>
      <c r="C96" s="3" t="s">
        <v>335</v>
      </c>
      <c r="D96" s="8">
        <v>7.9000000000000001E-2</v>
      </c>
      <c r="E96" s="8">
        <v>7.9000000000000001E-2</v>
      </c>
      <c r="F96" s="8">
        <v>8.2000000000000003E-2</v>
      </c>
      <c r="G96" s="10">
        <v>8.1000000000000003E-2</v>
      </c>
      <c r="H96" s="9">
        <v>0.08</v>
      </c>
      <c r="I96" s="8">
        <v>8.3000000000000004E-2</v>
      </c>
      <c r="J96" s="8">
        <v>8.6999999999999994E-2</v>
      </c>
      <c r="K96" s="8">
        <v>7.4999999999999997E-2</v>
      </c>
      <c r="L96" s="10">
        <v>0.08</v>
      </c>
      <c r="M96" s="9">
        <v>8.1000000000000003E-2</v>
      </c>
      <c r="N96" s="8">
        <v>8.3000000000000004E-2</v>
      </c>
      <c r="O96" s="8">
        <v>8.4000000000000005E-2</v>
      </c>
      <c r="P96" s="8">
        <v>8.5999999999999993E-2</v>
      </c>
      <c r="Q96" s="8">
        <v>8.5000000000000006E-2</v>
      </c>
      <c r="R96" s="9">
        <v>8.4000000000000005E-2</v>
      </c>
      <c r="S96" s="8">
        <v>8.4000000000000005E-2</v>
      </c>
      <c r="T96" s="8">
        <v>0.09</v>
      </c>
      <c r="U96" s="8">
        <v>8.7999999999999995E-2</v>
      </c>
      <c r="V96" s="8">
        <v>9.2999999999999999E-2</v>
      </c>
      <c r="W96" s="9">
        <v>8.8999999999999996E-2</v>
      </c>
      <c r="X96" s="390"/>
      <c r="Y96" s="8"/>
      <c r="Z96" s="8"/>
      <c r="AA96" s="8"/>
      <c r="AB96" s="9"/>
      <c r="AC96" s="386"/>
      <c r="AD96" s="386"/>
      <c r="AE96" s="386"/>
      <c r="AF96" s="386"/>
      <c r="AG96" s="9"/>
      <c r="AH96" s="386"/>
      <c r="AI96" s="386"/>
      <c r="AJ96" s="386"/>
      <c r="AK96" s="386"/>
      <c r="AL96" s="9"/>
      <c r="AM96" s="386"/>
      <c r="AN96" s="386"/>
      <c r="AO96" s="386"/>
      <c r="AP96" s="386"/>
      <c r="AQ96" s="9"/>
      <c r="AR96" s="386"/>
      <c r="AS96" s="386"/>
      <c r="AT96" s="386"/>
      <c r="AU96" s="386"/>
      <c r="AV96" s="9"/>
      <c r="AW96" s="386"/>
      <c r="AX96" s="386"/>
      <c r="AY96" s="386"/>
      <c r="AZ96" s="386"/>
      <c r="BA96" s="9"/>
      <c r="BB96" s="386"/>
      <c r="BC96" s="401"/>
      <c r="BD96" s="401"/>
      <c r="BE96" s="401"/>
      <c r="BF96" s="9"/>
      <c r="BG96" s="386"/>
      <c r="BH96" s="401"/>
      <c r="BI96" s="401"/>
      <c r="BJ96" s="401"/>
      <c r="BK96" s="9">
        <f t="shared" si="4"/>
        <v>0</v>
      </c>
      <c r="BL96" s="386"/>
      <c r="BM96" s="401"/>
      <c r="BN96" s="401"/>
      <c r="BO96" s="401"/>
      <c r="BP96" s="9"/>
    </row>
    <row r="97" spans="2:68" ht="12" hidden="1" customHeight="1">
      <c r="B97" s="218"/>
      <c r="C97" s="3" t="s">
        <v>336</v>
      </c>
      <c r="D97" s="8">
        <v>9.5000000000000001E-2</v>
      </c>
      <c r="E97" s="8">
        <v>9.4E-2</v>
      </c>
      <c r="F97" s="8">
        <v>9.0999999999999998E-2</v>
      </c>
      <c r="G97" s="10">
        <v>8.8999999999999996E-2</v>
      </c>
      <c r="H97" s="9">
        <v>9.1999999999999998E-2</v>
      </c>
      <c r="I97" s="8">
        <v>8.8999999999999996E-2</v>
      </c>
      <c r="J97" s="8">
        <v>0.09</v>
      </c>
      <c r="K97" s="8">
        <v>9.1999999999999998E-2</v>
      </c>
      <c r="L97" s="10">
        <v>0.09</v>
      </c>
      <c r="M97" s="9">
        <v>0.09</v>
      </c>
      <c r="N97" s="8">
        <v>9.0999999999999998E-2</v>
      </c>
      <c r="O97" s="8">
        <v>9.1999999999999998E-2</v>
      </c>
      <c r="P97" s="8">
        <v>9.0999999999999998E-2</v>
      </c>
      <c r="Q97" s="8">
        <v>0.09</v>
      </c>
      <c r="R97" s="9">
        <v>9.0999999999999998E-2</v>
      </c>
      <c r="S97" s="8">
        <v>9.2999999999999999E-2</v>
      </c>
      <c r="T97" s="8">
        <v>9.4E-2</v>
      </c>
      <c r="U97" s="8">
        <v>9.4E-2</v>
      </c>
      <c r="V97" s="8">
        <v>9.8000000000000004E-2</v>
      </c>
      <c r="W97" s="9">
        <v>9.5000000000000001E-2</v>
      </c>
      <c r="X97" s="390"/>
      <c r="Y97" s="8"/>
      <c r="Z97" s="8"/>
      <c r="AA97" s="8"/>
      <c r="AB97" s="9"/>
      <c r="AC97" s="386"/>
      <c r="AD97" s="386"/>
      <c r="AE97" s="386"/>
      <c r="AF97" s="386"/>
      <c r="AG97" s="9"/>
      <c r="AH97" s="386"/>
      <c r="AI97" s="386"/>
      <c r="AJ97" s="386"/>
      <c r="AK97" s="386"/>
      <c r="AL97" s="9"/>
      <c r="AM97" s="386"/>
      <c r="AN97" s="386"/>
      <c r="AO97" s="386"/>
      <c r="AP97" s="386"/>
      <c r="AQ97" s="9"/>
      <c r="AR97" s="386"/>
      <c r="AS97" s="386"/>
      <c r="AT97" s="386"/>
      <c r="AU97" s="386"/>
      <c r="AV97" s="9"/>
      <c r="AW97" s="386"/>
      <c r="AX97" s="386"/>
      <c r="AY97" s="386"/>
      <c r="AZ97" s="386"/>
      <c r="BA97" s="9"/>
      <c r="BB97" s="386"/>
      <c r="BC97" s="401"/>
      <c r="BD97" s="401"/>
      <c r="BE97" s="401"/>
      <c r="BF97" s="9"/>
      <c r="BG97" s="386"/>
      <c r="BH97" s="401"/>
      <c r="BI97" s="401"/>
      <c r="BJ97" s="401"/>
      <c r="BK97" s="9">
        <f t="shared" si="4"/>
        <v>0</v>
      </c>
      <c r="BL97" s="386"/>
      <c r="BM97" s="401"/>
      <c r="BN97" s="401"/>
      <c r="BO97" s="401"/>
      <c r="BP97" s="9"/>
    </row>
    <row r="98" spans="2:68" ht="12" hidden="1" customHeight="1">
      <c r="B98" s="218"/>
      <c r="C98" s="3" t="s">
        <v>337</v>
      </c>
      <c r="D98" s="8">
        <v>5.2999999999999999E-2</v>
      </c>
      <c r="E98" s="8">
        <v>5.0999999999999997E-2</v>
      </c>
      <c r="F98" s="8">
        <v>5.3999999999999999E-2</v>
      </c>
      <c r="G98" s="10">
        <v>5.2999999999999999E-2</v>
      </c>
      <c r="H98" s="9">
        <v>5.2999999999999999E-2</v>
      </c>
      <c r="I98" s="8">
        <v>0.05</v>
      </c>
      <c r="J98" s="8">
        <v>4.9000000000000002E-2</v>
      </c>
      <c r="K98" s="8">
        <v>4.9000000000000002E-2</v>
      </c>
      <c r="L98" s="10">
        <v>0.05</v>
      </c>
      <c r="M98" s="9">
        <v>4.9000000000000002E-2</v>
      </c>
      <c r="N98" s="8">
        <v>4.9000000000000002E-2</v>
      </c>
      <c r="O98" s="8">
        <v>4.9000000000000002E-2</v>
      </c>
      <c r="P98" s="8">
        <v>4.9000000000000002E-2</v>
      </c>
      <c r="Q98" s="10">
        <v>5.0999999999999997E-2</v>
      </c>
      <c r="R98" s="9">
        <v>0.05</v>
      </c>
      <c r="S98" s="8">
        <v>0.05</v>
      </c>
      <c r="T98" s="8">
        <v>5.0999999999999997E-2</v>
      </c>
      <c r="U98" s="8">
        <v>5.2999999999999999E-2</v>
      </c>
      <c r="V98" s="8">
        <v>5.3999999999999999E-2</v>
      </c>
      <c r="W98" s="9">
        <v>5.1999999999999998E-2</v>
      </c>
      <c r="X98" s="390"/>
      <c r="Y98" s="8"/>
      <c r="Z98" s="8"/>
      <c r="AA98" s="8"/>
      <c r="AB98" s="9"/>
      <c r="AC98" s="386"/>
      <c r="AD98" s="386"/>
      <c r="AE98" s="386"/>
      <c r="AF98" s="386"/>
      <c r="AG98" s="9"/>
      <c r="AH98" s="386"/>
      <c r="AI98" s="386"/>
      <c r="AJ98" s="386"/>
      <c r="AK98" s="386"/>
      <c r="AL98" s="9"/>
      <c r="AM98" s="386"/>
      <c r="AN98" s="386"/>
      <c r="AO98" s="386"/>
      <c r="AP98" s="386"/>
      <c r="AQ98" s="9"/>
      <c r="AR98" s="386"/>
      <c r="AS98" s="386"/>
      <c r="AT98" s="386"/>
      <c r="AU98" s="386"/>
      <c r="AV98" s="9"/>
      <c r="AW98" s="386"/>
      <c r="AX98" s="386"/>
      <c r="AY98" s="386"/>
      <c r="AZ98" s="386"/>
      <c r="BA98" s="9"/>
      <c r="BB98" s="386"/>
      <c r="BC98" s="401"/>
      <c r="BD98" s="401"/>
      <c r="BE98" s="401"/>
      <c r="BF98" s="9"/>
      <c r="BG98" s="386"/>
      <c r="BH98" s="401"/>
      <c r="BI98" s="401"/>
      <c r="BJ98" s="401"/>
      <c r="BK98" s="9">
        <f t="shared" si="4"/>
        <v>0</v>
      </c>
      <c r="BL98" s="386"/>
      <c r="BM98" s="401"/>
      <c r="BN98" s="401"/>
      <c r="BO98" s="401"/>
      <c r="BP98" s="9"/>
    </row>
    <row r="99" spans="2:68" ht="12" hidden="1" customHeight="1">
      <c r="B99" s="218"/>
      <c r="C99" s="3" t="s">
        <v>338</v>
      </c>
      <c r="D99" s="8">
        <v>3.4000000000000002E-2</v>
      </c>
      <c r="E99" s="8">
        <v>3.4000000000000002E-2</v>
      </c>
      <c r="F99" s="8">
        <v>3.4000000000000002E-2</v>
      </c>
      <c r="G99" s="10">
        <v>3.5000000000000003E-2</v>
      </c>
      <c r="H99" s="9">
        <v>3.4000000000000002E-2</v>
      </c>
      <c r="I99" s="8">
        <v>3.5000000000000003E-2</v>
      </c>
      <c r="J99" s="8">
        <v>3.3000000000000002E-2</v>
      </c>
      <c r="K99" s="8">
        <v>3.4000000000000002E-2</v>
      </c>
      <c r="L99" s="10">
        <v>3.4000000000000002E-2</v>
      </c>
      <c r="M99" s="9">
        <v>3.4000000000000002E-2</v>
      </c>
      <c r="N99" s="8">
        <v>3.5000000000000003E-2</v>
      </c>
      <c r="O99" s="8">
        <v>3.6999999999999998E-2</v>
      </c>
      <c r="P99" s="8">
        <v>3.9E-2</v>
      </c>
      <c r="Q99" s="10">
        <v>0.04</v>
      </c>
      <c r="R99" s="9">
        <v>3.7999999999999999E-2</v>
      </c>
      <c r="S99" s="8">
        <v>4.1000000000000002E-2</v>
      </c>
      <c r="T99" s="8">
        <v>4.1000000000000002E-2</v>
      </c>
      <c r="U99" s="8">
        <v>0.04</v>
      </c>
      <c r="V99" s="8">
        <v>0.04</v>
      </c>
      <c r="W99" s="9">
        <v>4.1000000000000002E-2</v>
      </c>
      <c r="X99" s="390"/>
      <c r="Y99" s="8"/>
      <c r="Z99" s="8"/>
      <c r="AA99" s="8"/>
      <c r="AB99" s="9"/>
      <c r="AC99" s="386"/>
      <c r="AD99" s="386"/>
      <c r="AE99" s="386"/>
      <c r="AF99" s="386"/>
      <c r="AG99" s="9"/>
      <c r="AH99" s="386"/>
      <c r="AI99" s="386"/>
      <c r="AJ99" s="386"/>
      <c r="AK99" s="386"/>
      <c r="AL99" s="9"/>
      <c r="AM99" s="386"/>
      <c r="AN99" s="386"/>
      <c r="AO99" s="386"/>
      <c r="AP99" s="386"/>
      <c r="AQ99" s="9"/>
      <c r="AR99" s="386"/>
      <c r="AS99" s="386"/>
      <c r="AT99" s="386"/>
      <c r="AU99" s="386"/>
      <c r="AV99" s="9"/>
      <c r="AW99" s="386"/>
      <c r="AX99" s="386"/>
      <c r="AY99" s="386"/>
      <c r="AZ99" s="386"/>
      <c r="BA99" s="9"/>
      <c r="BB99" s="386"/>
      <c r="BC99" s="401"/>
      <c r="BD99" s="401"/>
      <c r="BE99" s="401"/>
      <c r="BF99" s="9"/>
      <c r="BG99" s="386"/>
      <c r="BH99" s="401"/>
      <c r="BI99" s="401"/>
      <c r="BJ99" s="401"/>
      <c r="BK99" s="9">
        <f t="shared" si="4"/>
        <v>0</v>
      </c>
      <c r="BL99" s="386"/>
      <c r="BM99" s="401"/>
      <c r="BN99" s="401"/>
      <c r="BO99" s="401"/>
      <c r="BP99" s="9"/>
    </row>
    <row r="100" spans="2:68" ht="12" hidden="1" customHeight="1">
      <c r="B100" s="218"/>
      <c r="C100" s="3" t="s">
        <v>315</v>
      </c>
      <c r="D100" s="8">
        <v>2.3E-2</v>
      </c>
      <c r="E100" s="8">
        <v>2.1999999999999999E-2</v>
      </c>
      <c r="F100" s="8">
        <v>2.3E-2</v>
      </c>
      <c r="G100" s="10">
        <v>2.5000000000000001E-2</v>
      </c>
      <c r="H100" s="9">
        <v>2.3E-2</v>
      </c>
      <c r="I100" s="8">
        <v>2.7E-2</v>
      </c>
      <c r="J100" s="8">
        <v>2.8000000000000001E-2</v>
      </c>
      <c r="K100" s="8">
        <v>0.03</v>
      </c>
      <c r="L100" s="10">
        <v>2.8000000000000001E-2</v>
      </c>
      <c r="M100" s="9">
        <v>2.8000000000000001E-2</v>
      </c>
      <c r="N100" s="8">
        <v>2.7E-2</v>
      </c>
      <c r="O100" s="8">
        <v>2.9000000000000001E-2</v>
      </c>
      <c r="P100" s="8">
        <v>0.03</v>
      </c>
      <c r="Q100" s="10">
        <v>3.2000000000000001E-2</v>
      </c>
      <c r="R100" s="9">
        <v>2.9000000000000001E-2</v>
      </c>
      <c r="S100" s="8">
        <v>3.1E-2</v>
      </c>
      <c r="T100" s="8">
        <v>3.1E-2</v>
      </c>
      <c r="U100" s="8">
        <v>2.8000000000000001E-2</v>
      </c>
      <c r="V100" s="8">
        <v>3.1E-2</v>
      </c>
      <c r="W100" s="9">
        <v>0.03</v>
      </c>
      <c r="X100" s="390"/>
      <c r="Y100" s="8"/>
      <c r="Z100" s="8"/>
      <c r="AA100" s="8"/>
      <c r="AB100" s="9"/>
      <c r="AC100" s="386"/>
      <c r="AD100" s="386"/>
      <c r="AE100" s="386"/>
      <c r="AF100" s="386"/>
      <c r="AG100" s="9"/>
      <c r="AH100" s="386"/>
      <c r="AI100" s="386"/>
      <c r="AJ100" s="386"/>
      <c r="AK100" s="386"/>
      <c r="AL100" s="9"/>
      <c r="AM100" s="386"/>
      <c r="AN100" s="386"/>
      <c r="AO100" s="386"/>
      <c r="AP100" s="386"/>
      <c r="AQ100" s="9"/>
      <c r="AR100" s="386"/>
      <c r="AS100" s="386"/>
      <c r="AT100" s="386"/>
      <c r="AU100" s="386"/>
      <c r="AV100" s="9"/>
      <c r="AW100" s="386"/>
      <c r="AX100" s="386"/>
      <c r="AY100" s="386"/>
      <c r="AZ100" s="386"/>
      <c r="BA100" s="9"/>
      <c r="BB100" s="386"/>
      <c r="BC100" s="401"/>
      <c r="BD100" s="401"/>
      <c r="BE100" s="401"/>
      <c r="BF100" s="9"/>
      <c r="BG100" s="386"/>
      <c r="BH100" s="401"/>
      <c r="BI100" s="401"/>
      <c r="BJ100" s="401"/>
      <c r="BK100" s="9">
        <f t="shared" si="4"/>
        <v>0</v>
      </c>
      <c r="BL100" s="386"/>
      <c r="BM100" s="401"/>
      <c r="BN100" s="401"/>
      <c r="BO100" s="401"/>
      <c r="BP100" s="9"/>
    </row>
    <row r="101" spans="2:68" ht="12" hidden="1" customHeight="1">
      <c r="B101" s="218"/>
      <c r="C101" s="3"/>
      <c r="D101" s="8"/>
      <c r="E101" s="8"/>
      <c r="F101" s="8"/>
      <c r="G101" s="10"/>
      <c r="H101" s="9"/>
      <c r="I101" s="8"/>
      <c r="J101" s="8"/>
      <c r="K101" s="8"/>
      <c r="L101" s="10"/>
      <c r="M101" s="9"/>
      <c r="N101" s="8"/>
      <c r="O101" s="8"/>
      <c r="P101" s="8"/>
      <c r="Q101" s="10"/>
      <c r="R101" s="9"/>
      <c r="S101" s="8"/>
      <c r="T101" s="8"/>
      <c r="U101" s="8"/>
      <c r="V101" s="8"/>
      <c r="W101" s="9"/>
      <c r="X101" s="390"/>
      <c r="Y101" s="8"/>
      <c r="Z101" s="8"/>
      <c r="AA101" s="8"/>
      <c r="AB101" s="9"/>
      <c r="AC101" s="386"/>
      <c r="AD101" s="386"/>
      <c r="AE101" s="386"/>
      <c r="AF101" s="386"/>
      <c r="AG101" s="9"/>
      <c r="AH101" s="386"/>
      <c r="AI101" s="386"/>
      <c r="AJ101" s="386"/>
      <c r="AK101" s="386"/>
      <c r="AL101" s="9"/>
      <c r="AM101" s="386"/>
      <c r="AN101" s="386"/>
      <c r="AO101" s="386"/>
      <c r="AP101" s="386"/>
      <c r="AQ101" s="9"/>
      <c r="AR101" s="386"/>
      <c r="AS101" s="386"/>
      <c r="AT101" s="386"/>
      <c r="AU101" s="386"/>
      <c r="AV101" s="9"/>
      <c r="AW101" s="386"/>
      <c r="AX101" s="386"/>
      <c r="AY101" s="386"/>
      <c r="AZ101" s="386"/>
      <c r="BA101" s="9"/>
      <c r="BB101" s="386"/>
      <c r="BC101" s="401"/>
      <c r="BD101" s="401"/>
      <c r="BE101" s="401"/>
      <c r="BF101" s="9"/>
      <c r="BG101" s="386"/>
      <c r="BH101" s="401"/>
      <c r="BI101" s="401"/>
      <c r="BJ101" s="401"/>
      <c r="BK101" s="9">
        <f t="shared" si="4"/>
        <v>0</v>
      </c>
      <c r="BL101" s="386"/>
      <c r="BM101" s="401"/>
      <c r="BN101" s="401"/>
      <c r="BO101" s="401"/>
      <c r="BP101" s="9"/>
    </row>
    <row r="102" spans="2:68" s="39" customFormat="1" ht="12" hidden="1" customHeight="1">
      <c r="B102" s="218"/>
      <c r="C102" s="2" t="s">
        <v>339</v>
      </c>
      <c r="D102" s="5">
        <v>0.32300000000000001</v>
      </c>
      <c r="E102" s="5">
        <v>0.32400000000000001</v>
      </c>
      <c r="F102" s="5">
        <v>0.32600000000000001</v>
      </c>
      <c r="G102" s="5">
        <v>0.32700000000000001</v>
      </c>
      <c r="H102" s="6">
        <v>0.32500000000000001</v>
      </c>
      <c r="I102" s="5">
        <v>0.32800000000000001</v>
      </c>
      <c r="J102" s="5">
        <v>0.32800000000000001</v>
      </c>
      <c r="K102" s="5">
        <v>0.33800000000000002</v>
      </c>
      <c r="L102" s="5">
        <v>0.33200000000000002</v>
      </c>
      <c r="M102" s="6">
        <v>0.33200000000000002</v>
      </c>
      <c r="N102" s="5">
        <v>0.32100000000000001</v>
      </c>
      <c r="O102" s="5">
        <v>0.32100000000000001</v>
      </c>
      <c r="P102" s="5">
        <v>0.32400000000000001</v>
      </c>
      <c r="Q102" s="5">
        <v>0.32600000000000001</v>
      </c>
      <c r="R102" s="6">
        <v>0.32300000000000001</v>
      </c>
      <c r="S102" s="5">
        <v>0.32600000000000001</v>
      </c>
      <c r="T102" s="5">
        <v>0.32500000000000001</v>
      </c>
      <c r="U102" s="5">
        <v>0.32800000000000001</v>
      </c>
      <c r="V102" s="5">
        <v>0.32400000000000001</v>
      </c>
      <c r="W102" s="6">
        <v>0.32500000000000001</v>
      </c>
      <c r="X102" s="390"/>
      <c r="Y102" s="5"/>
      <c r="Z102" s="5"/>
      <c r="AA102" s="5"/>
      <c r="AB102" s="6"/>
      <c r="AC102" s="386"/>
      <c r="AD102" s="386"/>
      <c r="AE102" s="386"/>
      <c r="AF102" s="386"/>
      <c r="AG102" s="6"/>
      <c r="AH102" s="386"/>
      <c r="AI102" s="386"/>
      <c r="AJ102" s="386"/>
      <c r="AK102" s="386"/>
      <c r="AL102" s="6"/>
      <c r="AM102" s="386"/>
      <c r="AN102" s="386"/>
      <c r="AO102" s="386"/>
      <c r="AP102" s="386"/>
      <c r="AQ102" s="6"/>
      <c r="AR102" s="386"/>
      <c r="AS102" s="386"/>
      <c r="AT102" s="386"/>
      <c r="AU102" s="386"/>
      <c r="AV102" s="6"/>
      <c r="AW102" s="386"/>
      <c r="AX102" s="386"/>
      <c r="AY102" s="386"/>
      <c r="AZ102" s="386"/>
      <c r="BA102" s="6"/>
      <c r="BB102" s="386"/>
      <c r="BC102" s="401"/>
      <c r="BD102" s="401"/>
      <c r="BE102" s="401"/>
      <c r="BF102" s="6"/>
      <c r="BG102" s="386"/>
      <c r="BH102" s="401"/>
      <c r="BI102" s="401"/>
      <c r="BJ102" s="401"/>
      <c r="BK102" s="6">
        <f t="shared" si="4"/>
        <v>0</v>
      </c>
      <c r="BL102" s="386"/>
      <c r="BM102" s="401"/>
      <c r="BN102" s="401"/>
      <c r="BO102" s="401"/>
      <c r="BP102" s="6"/>
    </row>
    <row r="103" spans="2:68" ht="12" hidden="1" customHeight="1">
      <c r="B103" s="218"/>
      <c r="C103" s="3"/>
      <c r="D103" s="8"/>
      <c r="E103" s="8"/>
      <c r="F103" s="8"/>
      <c r="G103" s="10"/>
      <c r="H103" s="9"/>
      <c r="I103" s="8"/>
      <c r="J103" s="8"/>
      <c r="K103" s="8"/>
      <c r="L103" s="10"/>
      <c r="M103" s="9"/>
      <c r="N103" s="8"/>
      <c r="O103" s="8"/>
      <c r="P103" s="8"/>
      <c r="Q103" s="10"/>
      <c r="R103" s="9"/>
      <c r="S103" s="8"/>
      <c r="T103" s="8"/>
      <c r="U103" s="8"/>
      <c r="V103" s="8"/>
      <c r="W103" s="9"/>
      <c r="X103" s="390"/>
      <c r="Y103" s="8"/>
      <c r="Z103" s="8"/>
      <c r="AA103" s="8"/>
      <c r="AB103" s="9"/>
      <c r="AC103" s="386"/>
      <c r="AD103" s="386"/>
      <c r="AE103" s="386"/>
      <c r="AF103" s="386"/>
      <c r="AG103" s="9"/>
      <c r="AH103" s="386"/>
      <c r="AI103" s="386"/>
      <c r="AJ103" s="386"/>
      <c r="AK103" s="386"/>
      <c r="AL103" s="9"/>
      <c r="AM103" s="386"/>
      <c r="AN103" s="386"/>
      <c r="AO103" s="386"/>
      <c r="AP103" s="386"/>
      <c r="AQ103" s="9"/>
      <c r="AR103" s="386"/>
      <c r="AS103" s="386"/>
      <c r="AT103" s="386"/>
      <c r="AU103" s="386"/>
      <c r="AV103" s="9"/>
      <c r="AW103" s="386"/>
      <c r="AX103" s="386"/>
      <c r="AY103" s="386"/>
      <c r="AZ103" s="386"/>
      <c r="BA103" s="9"/>
      <c r="BB103" s="386"/>
      <c r="BC103" s="401"/>
      <c r="BD103" s="401"/>
      <c r="BE103" s="401"/>
      <c r="BF103" s="9"/>
      <c r="BG103" s="386"/>
      <c r="BH103" s="401"/>
      <c r="BI103" s="401"/>
      <c r="BJ103" s="401"/>
      <c r="BK103" s="9">
        <f t="shared" si="4"/>
        <v>0</v>
      </c>
      <c r="BL103" s="386"/>
      <c r="BM103" s="401"/>
      <c r="BN103" s="401"/>
      <c r="BO103" s="401"/>
      <c r="BP103" s="9"/>
    </row>
    <row r="104" spans="2:68" s="39" customFormat="1" ht="12" hidden="1" customHeight="1">
      <c r="B104" s="218"/>
      <c r="C104" s="2" t="s">
        <v>340</v>
      </c>
      <c r="D104" s="5">
        <f t="shared" ref="D104:Q104" si="15">SUM(D105:D107)</f>
        <v>4.8000000000000001E-2</v>
      </c>
      <c r="E104" s="5">
        <f t="shared" si="15"/>
        <v>4.5999999999999999E-2</v>
      </c>
      <c r="F104" s="5">
        <f t="shared" si="15"/>
        <v>4.5999999999999999E-2</v>
      </c>
      <c r="G104" s="5">
        <f t="shared" si="15"/>
        <v>0.05</v>
      </c>
      <c r="H104" s="6">
        <f t="shared" si="15"/>
        <v>4.7999999999999994E-2</v>
      </c>
      <c r="I104" s="5">
        <f t="shared" si="15"/>
        <v>4.9000000000000002E-2</v>
      </c>
      <c r="J104" s="5">
        <f t="shared" si="15"/>
        <v>4.8999999999999995E-2</v>
      </c>
      <c r="K104" s="5">
        <f t="shared" si="15"/>
        <v>0.05</v>
      </c>
      <c r="L104" s="5">
        <f t="shared" si="15"/>
        <v>5.2000000000000005E-2</v>
      </c>
      <c r="M104" s="6">
        <f>SUM(M105:M107)</f>
        <v>0.05</v>
      </c>
      <c r="N104" s="5">
        <f t="shared" si="15"/>
        <v>5.5000000000000007E-2</v>
      </c>
      <c r="O104" s="5">
        <f t="shared" si="15"/>
        <v>5.1000000000000004E-2</v>
      </c>
      <c r="P104" s="5">
        <f t="shared" si="15"/>
        <v>5.6000000000000001E-2</v>
      </c>
      <c r="Q104" s="5">
        <f t="shared" si="15"/>
        <v>5.5E-2</v>
      </c>
      <c r="R104" s="6">
        <f>SUM(R105:R107)</f>
        <v>5.4000000000000006E-2</v>
      </c>
      <c r="S104" s="5">
        <v>5.3999999999999999E-2</v>
      </c>
      <c r="T104" s="5">
        <v>5.1999999999999998E-2</v>
      </c>
      <c r="U104" s="5">
        <v>5.2999999999999999E-2</v>
      </c>
      <c r="V104" s="5">
        <v>4.9000000000000002E-2</v>
      </c>
      <c r="W104" s="6">
        <v>5.1999999999999998E-2</v>
      </c>
      <c r="X104" s="390"/>
      <c r="Y104" s="5"/>
      <c r="Z104" s="5"/>
      <c r="AA104" s="5"/>
      <c r="AB104" s="6"/>
      <c r="AC104" s="386"/>
      <c r="AD104" s="386"/>
      <c r="AE104" s="386"/>
      <c r="AF104" s="386"/>
      <c r="AG104" s="6"/>
      <c r="AH104" s="386"/>
      <c r="AI104" s="386"/>
      <c r="AJ104" s="386"/>
      <c r="AK104" s="386"/>
      <c r="AL104" s="6"/>
      <c r="AM104" s="386"/>
      <c r="AN104" s="386"/>
      <c r="AO104" s="386"/>
      <c r="AP104" s="386"/>
      <c r="AQ104" s="6"/>
      <c r="AR104" s="386"/>
      <c r="AS104" s="386"/>
      <c r="AT104" s="386"/>
      <c r="AU104" s="386"/>
      <c r="AV104" s="6"/>
      <c r="AW104" s="386"/>
      <c r="AX104" s="386"/>
      <c r="AY104" s="386"/>
      <c r="AZ104" s="386"/>
      <c r="BA104" s="6"/>
      <c r="BB104" s="386"/>
      <c r="BC104" s="401"/>
      <c r="BD104" s="401"/>
      <c r="BE104" s="401"/>
      <c r="BF104" s="6"/>
      <c r="BG104" s="386"/>
      <c r="BH104" s="401"/>
      <c r="BI104" s="401"/>
      <c r="BJ104" s="401"/>
      <c r="BK104" s="6">
        <f t="shared" si="4"/>
        <v>0</v>
      </c>
      <c r="BL104" s="386"/>
      <c r="BM104" s="401"/>
      <c r="BN104" s="401"/>
      <c r="BO104" s="401"/>
      <c r="BP104" s="6"/>
    </row>
    <row r="105" spans="2:68" ht="12" hidden="1" customHeight="1">
      <c r="B105" s="218"/>
      <c r="C105" s="3" t="s">
        <v>341</v>
      </c>
      <c r="D105" s="8">
        <v>3.2000000000000001E-2</v>
      </c>
      <c r="E105" s="8">
        <v>2.9000000000000001E-2</v>
      </c>
      <c r="F105" s="8">
        <v>2.9000000000000001E-2</v>
      </c>
      <c r="G105" s="10">
        <v>3.4000000000000002E-2</v>
      </c>
      <c r="H105" s="9">
        <v>3.2000000000000001E-2</v>
      </c>
      <c r="I105" s="8">
        <v>3.2000000000000001E-2</v>
      </c>
      <c r="J105" s="8">
        <v>2.8000000000000001E-2</v>
      </c>
      <c r="K105" s="8">
        <v>0.03</v>
      </c>
      <c r="L105" s="10">
        <v>3.2000000000000001E-2</v>
      </c>
      <c r="M105" s="9">
        <v>3.1E-2</v>
      </c>
      <c r="N105" s="8">
        <v>0.03</v>
      </c>
      <c r="O105" s="8">
        <v>0.03</v>
      </c>
      <c r="P105" s="8">
        <v>3.2000000000000001E-2</v>
      </c>
      <c r="Q105" s="10">
        <v>3.1E-2</v>
      </c>
      <c r="R105" s="9">
        <v>3.1E-2</v>
      </c>
      <c r="S105" s="8"/>
      <c r="T105" s="8"/>
      <c r="U105" s="8"/>
      <c r="V105" s="8"/>
      <c r="W105" s="9"/>
      <c r="X105" s="390"/>
      <c r="Y105" s="8"/>
      <c r="Z105" s="8"/>
      <c r="AA105" s="8"/>
      <c r="AB105" s="9"/>
      <c r="AC105" s="386"/>
      <c r="AD105" s="386"/>
      <c r="AE105" s="386"/>
      <c r="AF105" s="386"/>
      <c r="AG105" s="9"/>
      <c r="AH105" s="386"/>
      <c r="AI105" s="386"/>
      <c r="AJ105" s="386"/>
      <c r="AK105" s="386"/>
      <c r="AL105" s="9"/>
      <c r="AM105" s="386"/>
      <c r="AN105" s="386"/>
      <c r="AO105" s="386"/>
      <c r="AP105" s="386"/>
      <c r="AQ105" s="9"/>
      <c r="AR105" s="386"/>
      <c r="AS105" s="386"/>
      <c r="AT105" s="386"/>
      <c r="AU105" s="386"/>
      <c r="AV105" s="9"/>
      <c r="AW105" s="386"/>
      <c r="AX105" s="386"/>
      <c r="AY105" s="386"/>
      <c r="AZ105" s="386"/>
      <c r="BA105" s="9"/>
      <c r="BB105" s="386"/>
      <c r="BC105" s="401"/>
      <c r="BD105" s="401"/>
      <c r="BE105" s="401"/>
      <c r="BF105" s="9"/>
      <c r="BG105" s="386"/>
      <c r="BH105" s="401"/>
      <c r="BI105" s="401"/>
      <c r="BJ105" s="401"/>
      <c r="BK105" s="9">
        <f t="shared" si="4"/>
        <v>0</v>
      </c>
      <c r="BL105" s="386"/>
      <c r="BM105" s="401"/>
      <c r="BN105" s="401"/>
      <c r="BO105" s="401"/>
      <c r="BP105" s="9"/>
    </row>
    <row r="106" spans="2:68" ht="12" hidden="1" customHeight="1">
      <c r="B106" s="218"/>
      <c r="C106" s="3" t="s">
        <v>342</v>
      </c>
      <c r="D106" s="8">
        <v>1.2E-2</v>
      </c>
      <c r="E106" s="8">
        <v>1.2E-2</v>
      </c>
      <c r="F106" s="8">
        <v>1.0999999999999999E-2</v>
      </c>
      <c r="G106" s="10">
        <v>0.01</v>
      </c>
      <c r="H106" s="9">
        <v>1.0999999999999999E-2</v>
      </c>
      <c r="I106" s="8">
        <v>1.4E-2</v>
      </c>
      <c r="J106" s="8">
        <v>1.6E-2</v>
      </c>
      <c r="K106" s="8">
        <v>1.6E-2</v>
      </c>
      <c r="L106" s="10">
        <v>1.7000000000000001E-2</v>
      </c>
      <c r="M106" s="9">
        <v>1.4999999999999999E-2</v>
      </c>
      <c r="N106" s="8">
        <v>2.1000000000000001E-2</v>
      </c>
      <c r="O106" s="8">
        <v>1.7000000000000001E-2</v>
      </c>
      <c r="P106" s="8">
        <v>1.9E-2</v>
      </c>
      <c r="Q106" s="10">
        <v>1.9E-2</v>
      </c>
      <c r="R106" s="9">
        <v>1.9E-2</v>
      </c>
      <c r="S106" s="8"/>
      <c r="T106" s="8"/>
      <c r="U106" s="8"/>
      <c r="V106" s="8"/>
      <c r="W106" s="9"/>
      <c r="X106" s="390"/>
      <c r="Y106" s="8"/>
      <c r="Z106" s="8"/>
      <c r="AA106" s="8"/>
      <c r="AB106" s="9"/>
      <c r="AC106" s="386"/>
      <c r="AD106" s="386"/>
      <c r="AE106" s="386"/>
      <c r="AF106" s="386"/>
      <c r="AG106" s="9"/>
      <c r="AH106" s="386"/>
      <c r="AI106" s="386"/>
      <c r="AJ106" s="386"/>
      <c r="AK106" s="386"/>
      <c r="AL106" s="9"/>
      <c r="AM106" s="386"/>
      <c r="AN106" s="386"/>
      <c r="AO106" s="386"/>
      <c r="AP106" s="386"/>
      <c r="AQ106" s="9"/>
      <c r="AR106" s="386"/>
      <c r="AS106" s="386"/>
      <c r="AT106" s="386"/>
      <c r="AU106" s="386"/>
      <c r="AV106" s="9"/>
      <c r="AW106" s="386"/>
      <c r="AX106" s="386"/>
      <c r="AY106" s="386"/>
      <c r="AZ106" s="386"/>
      <c r="BA106" s="9"/>
      <c r="BB106" s="386"/>
      <c r="BC106" s="401"/>
      <c r="BD106" s="401"/>
      <c r="BE106" s="401"/>
      <c r="BF106" s="9"/>
      <c r="BG106" s="386"/>
      <c r="BH106" s="401"/>
      <c r="BI106" s="401"/>
      <c r="BJ106" s="401"/>
      <c r="BK106" s="9">
        <f t="shared" si="4"/>
        <v>0</v>
      </c>
      <c r="BL106" s="386"/>
      <c r="BM106" s="401"/>
      <c r="BN106" s="401"/>
      <c r="BO106" s="401"/>
      <c r="BP106" s="9"/>
    </row>
    <row r="107" spans="2:68" ht="12" hidden="1" customHeight="1">
      <c r="B107" s="218"/>
      <c r="C107" s="3" t="s">
        <v>315</v>
      </c>
      <c r="D107" s="8">
        <v>4.0000000000000001E-3</v>
      </c>
      <c r="E107" s="8">
        <v>5.0000000000000001E-3</v>
      </c>
      <c r="F107" s="8">
        <v>6.0000000000000001E-3</v>
      </c>
      <c r="G107" s="10">
        <v>6.0000000000000001E-3</v>
      </c>
      <c r="H107" s="9">
        <v>5.0000000000000001E-3</v>
      </c>
      <c r="I107" s="8">
        <v>3.0000000000000001E-3</v>
      </c>
      <c r="J107" s="8">
        <v>5.0000000000000001E-3</v>
      </c>
      <c r="K107" s="8">
        <v>4.0000000000000001E-3</v>
      </c>
      <c r="L107" s="10">
        <v>3.0000000000000001E-3</v>
      </c>
      <c r="M107" s="9">
        <v>4.0000000000000001E-3</v>
      </c>
      <c r="N107" s="8">
        <v>4.0000000000000001E-3</v>
      </c>
      <c r="O107" s="8">
        <v>4.0000000000000001E-3</v>
      </c>
      <c r="P107" s="8">
        <v>5.0000000000000001E-3</v>
      </c>
      <c r="Q107" s="10">
        <v>5.0000000000000001E-3</v>
      </c>
      <c r="R107" s="9">
        <v>4.0000000000000001E-3</v>
      </c>
      <c r="S107" s="8"/>
      <c r="T107" s="8"/>
      <c r="U107" s="8"/>
      <c r="V107" s="8"/>
      <c r="W107" s="9"/>
      <c r="X107" s="390"/>
      <c r="Y107" s="8"/>
      <c r="Z107" s="8"/>
      <c r="AA107" s="8"/>
      <c r="AB107" s="9"/>
      <c r="AC107" s="386"/>
      <c r="AD107" s="386"/>
      <c r="AE107" s="386"/>
      <c r="AF107" s="386"/>
      <c r="AG107" s="9"/>
      <c r="AH107" s="386"/>
      <c r="AI107" s="386"/>
      <c r="AJ107" s="386"/>
      <c r="AK107" s="386"/>
      <c r="AL107" s="9"/>
      <c r="AM107" s="386"/>
      <c r="AN107" s="386"/>
      <c r="AO107" s="386"/>
      <c r="AP107" s="386"/>
      <c r="AQ107" s="9"/>
      <c r="AR107" s="386"/>
      <c r="AS107" s="386"/>
      <c r="AT107" s="386"/>
      <c r="AU107" s="386"/>
      <c r="AV107" s="9"/>
      <c r="AW107" s="386"/>
      <c r="AX107" s="386"/>
      <c r="AY107" s="386"/>
      <c r="AZ107" s="386"/>
      <c r="BA107" s="9"/>
      <c r="BB107" s="386"/>
      <c r="BC107" s="401"/>
      <c r="BD107" s="401"/>
      <c r="BE107" s="401"/>
      <c r="BF107" s="9"/>
      <c r="BG107" s="386"/>
      <c r="BH107" s="401"/>
      <c r="BI107" s="401"/>
      <c r="BJ107" s="401"/>
      <c r="BK107" s="9">
        <f t="shared" si="4"/>
        <v>0</v>
      </c>
      <c r="BL107" s="386"/>
      <c r="BM107" s="401"/>
      <c r="BN107" s="401"/>
      <c r="BO107" s="401"/>
      <c r="BP107" s="9"/>
    </row>
    <row r="108" spans="2:68" ht="12" hidden="1" customHeight="1">
      <c r="B108" s="218"/>
      <c r="C108" s="3"/>
      <c r="D108" s="8"/>
      <c r="E108" s="8"/>
      <c r="F108" s="8"/>
      <c r="G108" s="10"/>
      <c r="H108" s="9"/>
      <c r="I108" s="8"/>
      <c r="J108" s="8"/>
      <c r="K108" s="8"/>
      <c r="L108" s="10"/>
      <c r="M108" s="9"/>
      <c r="N108" s="8"/>
      <c r="O108" s="8"/>
      <c r="P108" s="8"/>
      <c r="Q108" s="10"/>
      <c r="R108" s="9"/>
      <c r="S108" s="8"/>
      <c r="T108" s="8"/>
      <c r="U108" s="8"/>
      <c r="V108" s="8"/>
      <c r="W108" s="9"/>
      <c r="X108" s="390"/>
      <c r="Y108" s="8"/>
      <c r="Z108" s="8"/>
      <c r="AA108" s="8"/>
      <c r="AB108" s="9"/>
      <c r="AC108" s="386"/>
      <c r="AD108" s="386"/>
      <c r="AE108" s="386"/>
      <c r="AF108" s="386"/>
      <c r="AG108" s="9"/>
      <c r="AH108" s="386"/>
      <c r="AI108" s="386"/>
      <c r="AJ108" s="386"/>
      <c r="AK108" s="386"/>
      <c r="AL108" s="9"/>
      <c r="AM108" s="386"/>
      <c r="AN108" s="386"/>
      <c r="AO108" s="386"/>
      <c r="AP108" s="386"/>
      <c r="AQ108" s="9"/>
      <c r="AR108" s="386"/>
      <c r="AS108" s="386"/>
      <c r="AT108" s="386"/>
      <c r="AU108" s="386"/>
      <c r="AV108" s="9"/>
      <c r="AW108" s="386"/>
      <c r="AX108" s="386"/>
      <c r="AY108" s="386"/>
      <c r="AZ108" s="386"/>
      <c r="BA108" s="9"/>
      <c r="BB108" s="386"/>
      <c r="BC108" s="401"/>
      <c r="BD108" s="401"/>
      <c r="BE108" s="401"/>
      <c r="BF108" s="9"/>
      <c r="BG108" s="386"/>
      <c r="BH108" s="401"/>
      <c r="BI108" s="401"/>
      <c r="BJ108" s="401"/>
      <c r="BK108" s="9">
        <f t="shared" ref="BK108:BK167" si="16">BG108</f>
        <v>0</v>
      </c>
      <c r="BL108" s="386"/>
      <c r="BM108" s="401"/>
      <c r="BN108" s="401"/>
      <c r="BO108" s="401"/>
      <c r="BP108" s="9"/>
    </row>
    <row r="109" spans="2:68" s="39" customFormat="1" ht="12" hidden="1" customHeight="1">
      <c r="B109" s="218"/>
      <c r="C109" s="36" t="s">
        <v>301</v>
      </c>
      <c r="D109" s="13">
        <f t="shared" ref="D109:W109" si="17">D93+D102+D104</f>
        <v>1.0000000000000002</v>
      </c>
      <c r="E109" s="13">
        <f t="shared" si="17"/>
        <v>1.0000000000000002</v>
      </c>
      <c r="F109" s="13">
        <f t="shared" si="17"/>
        <v>1.0000000000000002</v>
      </c>
      <c r="G109" s="13">
        <f t="shared" si="17"/>
        <v>1.0000000000000002</v>
      </c>
      <c r="H109" s="14">
        <f t="shared" si="17"/>
        <v>1.0000000000000002</v>
      </c>
      <c r="I109" s="13">
        <f t="shared" si="17"/>
        <v>1</v>
      </c>
      <c r="J109" s="13">
        <f t="shared" si="17"/>
        <v>1</v>
      </c>
      <c r="K109" s="13">
        <f t="shared" si="17"/>
        <v>1.0000000000000002</v>
      </c>
      <c r="L109" s="13">
        <f t="shared" si="17"/>
        <v>1.0000000000000002</v>
      </c>
      <c r="M109" s="14">
        <f t="shared" si="17"/>
        <v>1.0000000000000002</v>
      </c>
      <c r="N109" s="13">
        <f t="shared" si="17"/>
        <v>1</v>
      </c>
      <c r="O109" s="13">
        <f t="shared" si="17"/>
        <v>1</v>
      </c>
      <c r="P109" s="13">
        <f t="shared" si="17"/>
        <v>1.0000000000000002</v>
      </c>
      <c r="Q109" s="13">
        <f t="shared" si="17"/>
        <v>1</v>
      </c>
      <c r="R109" s="14">
        <f t="shared" si="17"/>
        <v>1.0000000000000002</v>
      </c>
      <c r="S109" s="13">
        <f t="shared" si="17"/>
        <v>1.0000000000000002</v>
      </c>
      <c r="T109" s="13">
        <f t="shared" si="17"/>
        <v>1.0000000000000002</v>
      </c>
      <c r="U109" s="13">
        <f t="shared" si="17"/>
        <v>1</v>
      </c>
      <c r="V109" s="13">
        <f t="shared" si="17"/>
        <v>1</v>
      </c>
      <c r="W109" s="14">
        <f t="shared" si="17"/>
        <v>1.0000000000000002</v>
      </c>
      <c r="X109" s="390"/>
      <c r="Y109" s="13"/>
      <c r="Z109" s="13"/>
      <c r="AA109" s="13"/>
      <c r="AB109" s="14"/>
      <c r="AC109" s="386"/>
      <c r="AD109" s="386"/>
      <c r="AE109" s="386"/>
      <c r="AF109" s="386"/>
      <c r="AG109" s="14"/>
      <c r="AH109" s="386"/>
      <c r="AI109" s="386"/>
      <c r="AJ109" s="386"/>
      <c r="AK109" s="386"/>
      <c r="AL109" s="14"/>
      <c r="AM109" s="386"/>
      <c r="AN109" s="386"/>
      <c r="AO109" s="386"/>
      <c r="AP109" s="386"/>
      <c r="AQ109" s="14"/>
      <c r="AR109" s="386"/>
      <c r="AS109" s="386"/>
      <c r="AT109" s="386"/>
      <c r="AU109" s="386"/>
      <c r="AV109" s="14"/>
      <c r="AW109" s="386"/>
      <c r="AX109" s="386"/>
      <c r="AY109" s="386"/>
      <c r="AZ109" s="386"/>
      <c r="BA109" s="14"/>
      <c r="BB109" s="386"/>
      <c r="BC109" s="401"/>
      <c r="BD109" s="401"/>
      <c r="BE109" s="401"/>
      <c r="BF109" s="14"/>
      <c r="BG109" s="386"/>
      <c r="BH109" s="401"/>
      <c r="BI109" s="401"/>
      <c r="BJ109" s="401"/>
      <c r="BK109" s="14">
        <f t="shared" si="16"/>
        <v>0</v>
      </c>
      <c r="BL109" s="386"/>
      <c r="BM109" s="401"/>
      <c r="BN109" s="401"/>
      <c r="BO109" s="401"/>
      <c r="BP109" s="14"/>
    </row>
    <row r="110" spans="2:68" s="39" customFormat="1" hidden="1">
      <c r="B110" s="218"/>
      <c r="C110" s="36"/>
      <c r="D110" s="13"/>
      <c r="E110" s="13"/>
      <c r="F110" s="13"/>
      <c r="G110" s="13"/>
      <c r="H110" s="14"/>
      <c r="I110" s="13"/>
      <c r="J110" s="13"/>
      <c r="K110" s="13"/>
      <c r="L110" s="13"/>
      <c r="M110" s="14"/>
      <c r="N110" s="13"/>
      <c r="O110" s="13"/>
      <c r="P110" s="13"/>
      <c r="Q110" s="13"/>
      <c r="R110" s="14"/>
      <c r="S110" s="13"/>
      <c r="T110" s="13"/>
      <c r="U110" s="13"/>
      <c r="V110" s="13"/>
      <c r="W110" s="14"/>
      <c r="X110" s="253"/>
      <c r="Y110" s="13"/>
      <c r="Z110" s="13"/>
      <c r="AA110" s="13"/>
      <c r="AB110" s="14"/>
      <c r="AC110" s="341"/>
      <c r="AD110" s="341"/>
      <c r="AE110" s="341"/>
      <c r="AF110" s="341"/>
      <c r="AG110" s="14"/>
      <c r="AH110" s="341"/>
      <c r="AI110" s="341"/>
      <c r="AJ110" s="341"/>
      <c r="AK110" s="341"/>
      <c r="AL110" s="14"/>
      <c r="AM110" s="341"/>
      <c r="AN110" s="341"/>
      <c r="AO110" s="341"/>
      <c r="AP110" s="341"/>
      <c r="AQ110" s="14"/>
      <c r="AR110" s="341"/>
      <c r="AS110" s="341"/>
      <c r="AT110" s="341"/>
      <c r="AU110" s="341"/>
      <c r="AV110" s="14"/>
      <c r="AW110" s="341"/>
      <c r="AX110" s="341"/>
      <c r="AY110" s="341"/>
      <c r="AZ110" s="341"/>
      <c r="BA110" s="14"/>
      <c r="BB110" s="341"/>
      <c r="BC110" s="341"/>
      <c r="BD110" s="341"/>
      <c r="BE110" s="341"/>
      <c r="BF110" s="14"/>
      <c r="BG110" s="341"/>
      <c r="BH110" s="341"/>
      <c r="BI110" s="341"/>
      <c r="BJ110" s="341"/>
      <c r="BK110" s="14">
        <f t="shared" si="16"/>
        <v>0</v>
      </c>
      <c r="BL110" s="341"/>
      <c r="BM110" s="341"/>
      <c r="BN110" s="341"/>
      <c r="BO110" s="341"/>
      <c r="BP110" s="14"/>
    </row>
    <row r="111" spans="2:68" s="39" customFormat="1" hidden="1">
      <c r="B111" s="218" t="s">
        <v>325</v>
      </c>
      <c r="C111" s="2" t="s">
        <v>343</v>
      </c>
      <c r="D111" s="13"/>
      <c r="E111" s="13"/>
      <c r="F111" s="13"/>
      <c r="G111" s="13"/>
      <c r="H111" s="14"/>
      <c r="I111" s="13"/>
      <c r="J111" s="13"/>
      <c r="K111" s="13"/>
      <c r="L111" s="13"/>
      <c r="M111" s="14"/>
      <c r="N111" s="13"/>
      <c r="O111" s="13"/>
      <c r="P111" s="13"/>
      <c r="Q111" s="13"/>
      <c r="R111" s="14"/>
      <c r="S111" s="13"/>
      <c r="T111" s="13"/>
      <c r="U111" s="13"/>
      <c r="V111" s="13"/>
      <c r="W111" s="14"/>
      <c r="X111" s="253"/>
      <c r="Y111" s="13"/>
      <c r="Z111" s="13"/>
      <c r="AA111" s="13"/>
      <c r="AB111" s="14"/>
      <c r="AC111" s="341"/>
      <c r="AD111" s="341"/>
      <c r="AE111" s="341"/>
      <c r="AF111" s="341"/>
      <c r="AG111" s="14"/>
      <c r="AH111" s="341"/>
      <c r="AI111" s="341"/>
      <c r="AJ111" s="341"/>
      <c r="AK111" s="341"/>
      <c r="AL111" s="14"/>
      <c r="AM111" s="341"/>
      <c r="AN111" s="341"/>
      <c r="AO111" s="341"/>
      <c r="AP111" s="341"/>
      <c r="AQ111" s="14"/>
      <c r="AR111" s="341"/>
      <c r="AS111" s="341"/>
      <c r="AT111" s="341"/>
      <c r="AU111" s="341"/>
      <c r="AV111" s="14"/>
      <c r="AW111" s="341"/>
      <c r="AX111" s="341"/>
      <c r="AY111" s="341"/>
      <c r="AZ111" s="341"/>
      <c r="BA111" s="14"/>
      <c r="BB111" s="341"/>
      <c r="BC111" s="341"/>
      <c r="BD111" s="341"/>
      <c r="BE111" s="341"/>
      <c r="BF111" s="14"/>
      <c r="BG111" s="341"/>
      <c r="BH111" s="341"/>
      <c r="BI111" s="341"/>
      <c r="BJ111" s="341"/>
      <c r="BK111" s="14">
        <f t="shared" si="16"/>
        <v>0</v>
      </c>
      <c r="BL111" s="341"/>
      <c r="BM111" s="341"/>
      <c r="BN111" s="341"/>
      <c r="BO111" s="341"/>
      <c r="BP111" s="14"/>
    </row>
    <row r="112" spans="2:68" s="39" customFormat="1" hidden="1">
      <c r="B112" s="218"/>
      <c r="C112" s="37" t="s">
        <v>344</v>
      </c>
      <c r="D112" s="13"/>
      <c r="E112" s="13"/>
      <c r="F112" s="13"/>
      <c r="G112" s="13"/>
      <c r="H112" s="14"/>
      <c r="I112" s="13"/>
      <c r="J112" s="13"/>
      <c r="K112" s="13"/>
      <c r="L112" s="13"/>
      <c r="M112" s="14"/>
      <c r="N112" s="13"/>
      <c r="O112" s="13"/>
      <c r="P112" s="13"/>
      <c r="Q112" s="13"/>
      <c r="R112" s="14"/>
      <c r="S112" s="8">
        <f t="shared" ref="S112:AB112" si="18">S116+S120</f>
        <v>0.23899999999999999</v>
      </c>
      <c r="T112" s="8">
        <f t="shared" si="18"/>
        <v>0.252</v>
      </c>
      <c r="U112" s="8">
        <f t="shared" si="18"/>
        <v>0.26100000000000001</v>
      </c>
      <c r="V112" s="8">
        <f t="shared" si="18"/>
        <v>0.26800000000000002</v>
      </c>
      <c r="W112" s="14">
        <f t="shared" si="18"/>
        <v>0.255</v>
      </c>
      <c r="X112" s="8">
        <f t="shared" si="18"/>
        <v>0.28400000000000003</v>
      </c>
      <c r="Y112" s="8">
        <f t="shared" si="18"/>
        <v>0.31</v>
      </c>
      <c r="Z112" s="8">
        <f t="shared" si="18"/>
        <v>0.315</v>
      </c>
      <c r="AA112" s="8">
        <f t="shared" si="18"/>
        <v>0.33800000000000002</v>
      </c>
      <c r="AB112" s="14">
        <f t="shared" si="18"/>
        <v>0.312</v>
      </c>
      <c r="AC112" s="336">
        <v>0.35699999999999998</v>
      </c>
      <c r="AD112" s="336">
        <v>0.38300000000000001</v>
      </c>
      <c r="AE112" s="336">
        <v>0.40600000000000003</v>
      </c>
      <c r="AF112" s="336">
        <v>0.41899999999999998</v>
      </c>
      <c r="AG112" s="14">
        <v>0.39200000000000002</v>
      </c>
      <c r="AH112" s="336">
        <v>0.44500000000000001</v>
      </c>
      <c r="AI112" s="336">
        <v>0.47299999999999998</v>
      </c>
      <c r="AJ112" s="336">
        <v>0.501</v>
      </c>
      <c r="AK112" s="336">
        <v>0.51500000000000001</v>
      </c>
      <c r="AL112" s="14">
        <v>0.48499999999999999</v>
      </c>
      <c r="AM112" s="336">
        <v>0.53900000000000003</v>
      </c>
      <c r="AN112" s="336">
        <v>0.56100000000000005</v>
      </c>
      <c r="AO112" s="336">
        <v>0.58499999999999996</v>
      </c>
      <c r="AP112" s="336">
        <v>0.59199999999999997</v>
      </c>
      <c r="AQ112" s="14">
        <v>0.56999999999999995</v>
      </c>
      <c r="AR112" s="336">
        <v>0.61</v>
      </c>
      <c r="AS112" s="336">
        <v>0.61799999999999999</v>
      </c>
      <c r="AT112" s="336">
        <v>0.629</v>
      </c>
      <c r="AU112" s="336">
        <v>0.629</v>
      </c>
      <c r="AV112" s="14">
        <v>0.622</v>
      </c>
      <c r="AW112" s="336" t="s">
        <v>266</v>
      </c>
      <c r="AX112" s="336"/>
      <c r="AY112" s="336"/>
      <c r="AZ112" s="336"/>
      <c r="BA112" s="14" t="s">
        <v>266</v>
      </c>
      <c r="BB112" s="336"/>
      <c r="BC112" s="336"/>
      <c r="BD112" s="336"/>
      <c r="BE112" s="336"/>
      <c r="BF112" s="14"/>
      <c r="BG112" s="336"/>
      <c r="BH112" s="336"/>
      <c r="BI112" s="336"/>
      <c r="BJ112" s="336"/>
      <c r="BK112" s="14">
        <f t="shared" si="16"/>
        <v>0</v>
      </c>
      <c r="BL112" s="336"/>
      <c r="BM112" s="336"/>
      <c r="BN112" s="336"/>
      <c r="BO112" s="336"/>
      <c r="BP112" s="14"/>
    </row>
    <row r="113" spans="2:68" s="39" customFormat="1" hidden="1">
      <c r="B113" s="218"/>
      <c r="C113" s="37" t="s">
        <v>345</v>
      </c>
      <c r="D113" s="13"/>
      <c r="E113" s="13"/>
      <c r="F113" s="13"/>
      <c r="G113" s="13"/>
      <c r="H113" s="14"/>
      <c r="I113" s="13"/>
      <c r="J113" s="13"/>
      <c r="K113" s="13"/>
      <c r="L113" s="13"/>
      <c r="M113" s="14"/>
      <c r="N113" s="13"/>
      <c r="O113" s="13"/>
      <c r="P113" s="13"/>
      <c r="Q113" s="13"/>
      <c r="R113" s="14"/>
      <c r="S113" s="8">
        <f t="shared" ref="S113:AB113" si="19">S117+S121</f>
        <v>0.76100000000000001</v>
      </c>
      <c r="T113" s="8">
        <f t="shared" si="19"/>
        <v>0.748</v>
      </c>
      <c r="U113" s="8">
        <f t="shared" si="19"/>
        <v>0.73899999999999999</v>
      </c>
      <c r="V113" s="8">
        <f t="shared" si="19"/>
        <v>0.73199999999999998</v>
      </c>
      <c r="W113" s="14">
        <f t="shared" si="19"/>
        <v>0.745</v>
      </c>
      <c r="X113" s="8">
        <f t="shared" si="19"/>
        <v>0.71600000000000008</v>
      </c>
      <c r="Y113" s="8">
        <f t="shared" si="19"/>
        <v>0.69000000000000006</v>
      </c>
      <c r="Z113" s="8">
        <f t="shared" si="19"/>
        <v>0.68500000000000005</v>
      </c>
      <c r="AA113" s="8">
        <f t="shared" si="19"/>
        <v>0.66200000000000003</v>
      </c>
      <c r="AB113" s="14">
        <f t="shared" si="19"/>
        <v>0.68800000000000006</v>
      </c>
      <c r="AC113" s="336">
        <v>0.64300000000000002</v>
      </c>
      <c r="AD113" s="336">
        <f>1-AD112</f>
        <v>0.61699999999999999</v>
      </c>
      <c r="AE113" s="336">
        <f>1-AE112</f>
        <v>0.59399999999999997</v>
      </c>
      <c r="AF113" s="336">
        <v>0.58099999999999996</v>
      </c>
      <c r="AG113" s="14">
        <v>0.60799999999999998</v>
      </c>
      <c r="AH113" s="336">
        <v>0.55500000000000005</v>
      </c>
      <c r="AI113" s="336">
        <v>0.52700000000000002</v>
      </c>
      <c r="AJ113" s="336">
        <v>0.499</v>
      </c>
      <c r="AK113" s="336">
        <v>0.48499999999999999</v>
      </c>
      <c r="AL113" s="14">
        <v>0.51500000000000001</v>
      </c>
      <c r="AM113" s="336">
        <v>0.46100000000000002</v>
      </c>
      <c r="AN113" s="336">
        <v>0.439</v>
      </c>
      <c r="AO113" s="336">
        <v>0.41499999999999998</v>
      </c>
      <c r="AP113" s="336">
        <v>0.40799999999999997</v>
      </c>
      <c r="AQ113" s="14">
        <v>0.43</v>
      </c>
      <c r="AR113" s="336">
        <v>0.39</v>
      </c>
      <c r="AS113" s="336">
        <v>0.38200000000000001</v>
      </c>
      <c r="AT113" s="336">
        <v>0.371</v>
      </c>
      <c r="AU113" s="336">
        <v>0.371</v>
      </c>
      <c r="AV113" s="14">
        <v>0.378</v>
      </c>
      <c r="AW113" s="336" t="s">
        <v>266</v>
      </c>
      <c r="AX113" s="336"/>
      <c r="AY113" s="336"/>
      <c r="AZ113" s="336"/>
      <c r="BA113" s="14" t="s">
        <v>266</v>
      </c>
      <c r="BB113" s="336"/>
      <c r="BC113" s="336"/>
      <c r="BD113" s="336"/>
      <c r="BE113" s="336"/>
      <c r="BF113" s="14"/>
      <c r="BG113" s="336"/>
      <c r="BH113" s="336"/>
      <c r="BI113" s="336"/>
      <c r="BJ113" s="336"/>
      <c r="BK113" s="14">
        <f t="shared" si="16"/>
        <v>0</v>
      </c>
      <c r="BL113" s="336"/>
      <c r="BM113" s="336"/>
      <c r="BN113" s="336"/>
      <c r="BO113" s="336"/>
      <c r="BP113" s="14"/>
    </row>
    <row r="114" spans="2:68" s="39" customFormat="1" hidden="1">
      <c r="B114" s="218"/>
      <c r="C114" s="37"/>
      <c r="D114" s="13"/>
      <c r="E114" s="13"/>
      <c r="F114" s="13"/>
      <c r="G114" s="13"/>
      <c r="H114" s="14"/>
      <c r="I114" s="13"/>
      <c r="J114" s="13"/>
      <c r="K114" s="13"/>
      <c r="L114" s="13"/>
      <c r="M114" s="14"/>
      <c r="N114" s="13"/>
      <c r="O114" s="13"/>
      <c r="P114" s="13"/>
      <c r="Q114" s="13"/>
      <c r="R114" s="14"/>
      <c r="S114" s="8"/>
      <c r="T114" s="8"/>
      <c r="U114" s="8"/>
      <c r="V114" s="8"/>
      <c r="W114" s="14"/>
      <c r="X114" s="8"/>
      <c r="Y114" s="8"/>
      <c r="Z114" s="8"/>
      <c r="AA114" s="8"/>
      <c r="AB114" s="14"/>
      <c r="AC114" s="336"/>
      <c r="AD114" s="336"/>
      <c r="AE114" s="336"/>
      <c r="AF114" s="336"/>
      <c r="AG114" s="14"/>
      <c r="AH114" s="336"/>
      <c r="AI114" s="336"/>
      <c r="AJ114" s="336"/>
      <c r="AK114" s="336"/>
      <c r="AL114" s="14"/>
      <c r="AM114" s="336"/>
      <c r="AN114" s="336"/>
      <c r="AO114" s="336"/>
      <c r="AP114" s="336"/>
      <c r="AQ114" s="14"/>
      <c r="AR114" s="336"/>
      <c r="AS114" s="336"/>
      <c r="AT114" s="336"/>
      <c r="AU114" s="336"/>
      <c r="AV114" s="14"/>
      <c r="AW114" s="336"/>
      <c r="AX114" s="336"/>
      <c r="AY114" s="336"/>
      <c r="AZ114" s="336"/>
      <c r="BA114" s="14"/>
      <c r="BB114" s="336"/>
      <c r="BC114" s="336"/>
      <c r="BD114" s="336"/>
      <c r="BE114" s="336"/>
      <c r="BF114" s="14"/>
      <c r="BG114" s="336"/>
      <c r="BH114" s="336"/>
      <c r="BI114" s="336"/>
      <c r="BJ114" s="336"/>
      <c r="BK114" s="14">
        <f t="shared" si="16"/>
        <v>0</v>
      </c>
      <c r="BL114" s="336"/>
      <c r="BM114" s="336"/>
      <c r="BN114" s="336"/>
      <c r="BO114" s="336"/>
      <c r="BP114" s="14"/>
    </row>
    <row r="115" spans="2:68" s="39" customFormat="1" hidden="1">
      <c r="B115" s="218"/>
      <c r="C115" s="37" t="s">
        <v>346</v>
      </c>
      <c r="D115" s="13"/>
      <c r="E115" s="13"/>
      <c r="F115" s="13"/>
      <c r="G115" s="13"/>
      <c r="H115" s="14"/>
      <c r="I115" s="13"/>
      <c r="J115" s="13"/>
      <c r="K115" s="13"/>
      <c r="L115" s="13"/>
      <c r="M115" s="14"/>
      <c r="N115" s="13"/>
      <c r="O115" s="13"/>
      <c r="P115" s="13"/>
      <c r="Q115" s="13"/>
      <c r="R115" s="14"/>
      <c r="S115" s="254">
        <f t="shared" ref="S115:AA115" si="20">S116+S117</f>
        <v>0.94599999999999995</v>
      </c>
      <c r="T115" s="254">
        <f t="shared" si="20"/>
        <v>0.94799999999999995</v>
      </c>
      <c r="U115" s="254">
        <f t="shared" si="20"/>
        <v>0.94599999999999995</v>
      </c>
      <c r="V115" s="254">
        <f t="shared" si="20"/>
        <v>0.95099999999999996</v>
      </c>
      <c r="W115" s="14">
        <f t="shared" si="20"/>
        <v>0.94799999999999995</v>
      </c>
      <c r="X115" s="254">
        <f t="shared" si="20"/>
        <v>0.95200000000000007</v>
      </c>
      <c r="Y115" s="254">
        <f t="shared" si="20"/>
        <v>0.94900000000000007</v>
      </c>
      <c r="Z115" s="254">
        <f t="shared" si="20"/>
        <v>0.94500000000000006</v>
      </c>
      <c r="AA115" s="254">
        <f t="shared" si="20"/>
        <v>0.94599999999999995</v>
      </c>
      <c r="AB115" s="14">
        <f>AB116+AB117</f>
        <v>0.94799999999999995</v>
      </c>
      <c r="AC115" s="342">
        <v>0.94299999999999995</v>
      </c>
      <c r="AD115" s="342">
        <f>1-AD119</f>
        <v>0.93599999999999994</v>
      </c>
      <c r="AE115" s="342">
        <f>1-AE119</f>
        <v>0.94</v>
      </c>
      <c r="AF115" s="342">
        <f>1-AF119</f>
        <v>0.93799999999999994</v>
      </c>
      <c r="AG115" s="14">
        <f>1-AG119</f>
        <v>0.93900000000000006</v>
      </c>
      <c r="AH115" s="342">
        <v>0.93</v>
      </c>
      <c r="AI115" s="342">
        <v>0.92500000000000004</v>
      </c>
      <c r="AJ115" s="342">
        <v>0.92900000000000005</v>
      </c>
      <c r="AK115" s="342">
        <v>0.93300000000000005</v>
      </c>
      <c r="AL115" s="14">
        <v>0.92900000000000005</v>
      </c>
      <c r="AM115" s="342">
        <v>0.92700000000000005</v>
      </c>
      <c r="AN115" s="342">
        <v>0.94</v>
      </c>
      <c r="AO115" s="342">
        <v>0.93400000000000005</v>
      </c>
      <c r="AP115" s="342">
        <v>0.93300000000000005</v>
      </c>
      <c r="AQ115" s="14">
        <v>0.93300000000000005</v>
      </c>
      <c r="AR115" s="342">
        <v>0.93700000000000006</v>
      </c>
      <c r="AS115" s="342">
        <v>0.93700000000000006</v>
      </c>
      <c r="AT115" s="342">
        <v>0.93600000000000005</v>
      </c>
      <c r="AU115" s="342">
        <v>0.94</v>
      </c>
      <c r="AV115" s="14">
        <v>0.93700000000000006</v>
      </c>
      <c r="AW115" s="342">
        <v>0.94199999999999995</v>
      </c>
      <c r="AX115" s="254">
        <v>0.94199999999999995</v>
      </c>
      <c r="AY115" s="342"/>
      <c r="AZ115" s="342"/>
      <c r="BA115" s="14"/>
      <c r="BB115" s="342"/>
      <c r="BC115" s="254"/>
      <c r="BD115" s="342"/>
      <c r="BE115" s="342"/>
      <c r="BF115" s="14"/>
      <c r="BG115" s="342"/>
      <c r="BH115" s="254"/>
      <c r="BI115" s="342"/>
      <c r="BJ115" s="342"/>
      <c r="BK115" s="14">
        <f t="shared" si="16"/>
        <v>0</v>
      </c>
      <c r="BL115" s="342"/>
      <c r="BM115" s="254"/>
      <c r="BN115" s="342"/>
      <c r="BO115" s="342"/>
      <c r="BP115" s="14"/>
    </row>
    <row r="116" spans="2:68" s="39" customFormat="1" ht="12" hidden="1" customHeight="1">
      <c r="B116" s="218"/>
      <c r="C116" s="37" t="s">
        <v>347</v>
      </c>
      <c r="D116" s="13"/>
      <c r="E116" s="13"/>
      <c r="F116" s="13"/>
      <c r="G116" s="13"/>
      <c r="H116" s="14"/>
      <c r="I116" s="13"/>
      <c r="J116" s="13"/>
      <c r="K116" s="13"/>
      <c r="L116" s="13"/>
      <c r="M116" s="14"/>
      <c r="N116" s="13"/>
      <c r="O116" s="13"/>
      <c r="P116" s="13"/>
      <c r="Q116" s="13"/>
      <c r="R116" s="14"/>
      <c r="S116" s="275">
        <v>0.224</v>
      </c>
      <c r="T116" s="275">
        <v>0.23599999999999999</v>
      </c>
      <c r="U116" s="275">
        <v>0.24199999999999999</v>
      </c>
      <c r="V116" s="275">
        <v>0.253</v>
      </c>
      <c r="W116" s="14">
        <v>0.23899999999999999</v>
      </c>
      <c r="X116" s="286">
        <v>0.26700000000000002</v>
      </c>
      <c r="Y116" s="286">
        <v>0.28899999999999998</v>
      </c>
      <c r="Z116" s="275">
        <v>0.29299999999999998</v>
      </c>
      <c r="AA116" s="278">
        <v>0.314</v>
      </c>
      <c r="AB116" s="14">
        <v>0.29099999999999998</v>
      </c>
      <c r="AC116" s="343">
        <v>0.94336221734090497</v>
      </c>
      <c r="AD116" s="343">
        <v>0.94336221734090497</v>
      </c>
      <c r="AE116" s="343"/>
      <c r="AF116" s="343"/>
      <c r="AG116" s="14"/>
      <c r="AH116" s="343"/>
      <c r="AI116" s="343"/>
      <c r="AJ116" s="343"/>
      <c r="AK116" s="343"/>
      <c r="AL116" s="14"/>
      <c r="AM116" s="343"/>
      <c r="AN116" s="343"/>
      <c r="AO116" s="343"/>
      <c r="AP116" s="343"/>
      <c r="AQ116" s="14"/>
      <c r="AR116" s="343"/>
      <c r="AS116" s="343"/>
      <c r="AT116" s="343"/>
      <c r="AU116" s="343"/>
      <c r="AV116" s="14"/>
      <c r="AW116" s="343"/>
      <c r="AX116" s="385"/>
      <c r="AY116" s="343"/>
      <c r="AZ116" s="343"/>
      <c r="BA116" s="14"/>
      <c r="BB116" s="343"/>
      <c r="BC116" s="385"/>
      <c r="BD116" s="343"/>
      <c r="BE116" s="343"/>
      <c r="BF116" s="14"/>
      <c r="BG116" s="343"/>
      <c r="BH116" s="385"/>
      <c r="BI116" s="343"/>
      <c r="BJ116" s="343"/>
      <c r="BK116" s="14">
        <f t="shared" si="16"/>
        <v>0</v>
      </c>
      <c r="BL116" s="343"/>
      <c r="BM116" s="385"/>
      <c r="BN116" s="343"/>
      <c r="BO116" s="343"/>
      <c r="BP116" s="14"/>
    </row>
    <row r="117" spans="2:68" s="39" customFormat="1" ht="12" hidden="1" customHeight="1">
      <c r="B117" s="218"/>
      <c r="C117" s="37" t="s">
        <v>345</v>
      </c>
      <c r="D117" s="13"/>
      <c r="E117" s="13"/>
      <c r="F117" s="13"/>
      <c r="G117" s="13"/>
      <c r="H117" s="14"/>
      <c r="I117" s="13"/>
      <c r="J117" s="13"/>
      <c r="K117" s="13"/>
      <c r="L117" s="13"/>
      <c r="M117" s="14"/>
      <c r="N117" s="13"/>
      <c r="O117" s="13"/>
      <c r="P117" s="13"/>
      <c r="Q117" s="13"/>
      <c r="R117" s="14"/>
      <c r="S117" s="275">
        <v>0.72199999999999998</v>
      </c>
      <c r="T117" s="275">
        <v>0.71199999999999997</v>
      </c>
      <c r="U117" s="275">
        <v>0.70399999999999996</v>
      </c>
      <c r="V117" s="275">
        <v>0.69799999999999995</v>
      </c>
      <c r="W117" s="14">
        <v>0.70899999999999996</v>
      </c>
      <c r="X117" s="286">
        <v>0.68500000000000005</v>
      </c>
      <c r="Y117" s="286">
        <v>0.66</v>
      </c>
      <c r="Z117" s="275">
        <v>0.65200000000000002</v>
      </c>
      <c r="AA117" s="278">
        <v>0.63200000000000001</v>
      </c>
      <c r="AB117" s="14">
        <v>0.65700000000000003</v>
      </c>
      <c r="AC117" s="343" t="s">
        <v>266</v>
      </c>
      <c r="AD117" s="343" t="s">
        <v>266</v>
      </c>
      <c r="AE117" s="343"/>
      <c r="AF117" s="343"/>
      <c r="AG117" s="14"/>
      <c r="AH117" s="343"/>
      <c r="AI117" s="343"/>
      <c r="AJ117" s="343"/>
      <c r="AK117" s="343"/>
      <c r="AL117" s="14"/>
      <c r="AM117" s="343"/>
      <c r="AN117" s="343"/>
      <c r="AO117" s="343"/>
      <c r="AP117" s="343"/>
      <c r="AQ117" s="14"/>
      <c r="AR117" s="343"/>
      <c r="AS117" s="343"/>
      <c r="AT117" s="343"/>
      <c r="AU117" s="343"/>
      <c r="AV117" s="14"/>
      <c r="AW117" s="343"/>
      <c r="AX117" s="385"/>
      <c r="AY117" s="343"/>
      <c r="AZ117" s="343"/>
      <c r="BA117" s="14"/>
      <c r="BB117" s="343"/>
      <c r="BC117" s="385"/>
      <c r="BD117" s="343"/>
      <c r="BE117" s="343"/>
      <c r="BF117" s="14"/>
      <c r="BG117" s="343"/>
      <c r="BH117" s="385"/>
      <c r="BI117" s="343"/>
      <c r="BJ117" s="343"/>
      <c r="BK117" s="14">
        <f t="shared" si="16"/>
        <v>0</v>
      </c>
      <c r="BL117" s="343"/>
      <c r="BM117" s="385"/>
      <c r="BN117" s="343"/>
      <c r="BO117" s="343"/>
      <c r="BP117" s="14"/>
    </row>
    <row r="118" spans="2:68" s="39" customFormat="1" ht="12" hidden="1" customHeight="1">
      <c r="B118" s="218"/>
      <c r="C118" s="37"/>
      <c r="D118" s="13"/>
      <c r="E118" s="13"/>
      <c r="F118" s="13"/>
      <c r="G118" s="13"/>
      <c r="H118" s="14"/>
      <c r="I118" s="13"/>
      <c r="J118" s="13"/>
      <c r="K118" s="13"/>
      <c r="L118" s="13"/>
      <c r="M118" s="14"/>
      <c r="N118" s="13"/>
      <c r="O118" s="13"/>
      <c r="P118" s="13"/>
      <c r="Q118" s="13"/>
      <c r="R118" s="14"/>
      <c r="S118" s="275"/>
      <c r="T118" s="275"/>
      <c r="U118" s="275"/>
      <c r="V118" s="275"/>
      <c r="W118" s="14"/>
      <c r="X118" s="254"/>
      <c r="Y118" s="255"/>
      <c r="Z118" s="255"/>
      <c r="AA118" s="255"/>
      <c r="AB118" s="14"/>
      <c r="AC118" s="342"/>
      <c r="AD118" s="342"/>
      <c r="AE118" s="342"/>
      <c r="AF118" s="342"/>
      <c r="AG118" s="14"/>
      <c r="AH118" s="342"/>
      <c r="AI118" s="342"/>
      <c r="AJ118" s="342"/>
      <c r="AK118" s="342"/>
      <c r="AL118" s="14"/>
      <c r="AM118" s="342"/>
      <c r="AN118" s="342"/>
      <c r="AO118" s="342"/>
      <c r="AP118" s="342"/>
      <c r="AQ118" s="14"/>
      <c r="AR118" s="342"/>
      <c r="AS118" s="342"/>
      <c r="AT118" s="342"/>
      <c r="AU118" s="342"/>
      <c r="AV118" s="14"/>
      <c r="AW118" s="342"/>
      <c r="AX118" s="254"/>
      <c r="AY118" s="342"/>
      <c r="AZ118" s="342"/>
      <c r="BA118" s="14"/>
      <c r="BB118" s="342"/>
      <c r="BC118" s="254"/>
      <c r="BD118" s="342"/>
      <c r="BE118" s="342"/>
      <c r="BF118" s="14"/>
      <c r="BG118" s="342"/>
      <c r="BH118" s="254"/>
      <c r="BI118" s="342"/>
      <c r="BJ118" s="342"/>
      <c r="BK118" s="14">
        <f t="shared" si="16"/>
        <v>0</v>
      </c>
      <c r="BL118" s="342"/>
      <c r="BM118" s="254"/>
      <c r="BN118" s="342"/>
      <c r="BO118" s="342"/>
      <c r="BP118" s="14"/>
    </row>
    <row r="119" spans="2:68" s="39" customFormat="1" hidden="1">
      <c r="B119" s="218"/>
      <c r="C119" s="37" t="s">
        <v>348</v>
      </c>
      <c r="D119" s="13"/>
      <c r="E119" s="13"/>
      <c r="F119" s="13"/>
      <c r="G119" s="13"/>
      <c r="H119" s="14"/>
      <c r="I119" s="13"/>
      <c r="J119" s="13"/>
      <c r="K119" s="13"/>
      <c r="L119" s="13"/>
      <c r="M119" s="14"/>
      <c r="N119" s="13"/>
      <c r="O119" s="13"/>
      <c r="P119" s="13"/>
      <c r="Q119" s="13"/>
      <c r="R119" s="14"/>
      <c r="S119" s="254">
        <f t="shared" ref="S119:AA119" si="21">S120+S121</f>
        <v>5.3999999999999999E-2</v>
      </c>
      <c r="T119" s="254">
        <f t="shared" si="21"/>
        <v>5.1999999999999998E-2</v>
      </c>
      <c r="U119" s="254">
        <f t="shared" si="21"/>
        <v>5.4000000000000006E-2</v>
      </c>
      <c r="V119" s="254">
        <f t="shared" si="21"/>
        <v>4.9000000000000002E-2</v>
      </c>
      <c r="W119" s="14">
        <f t="shared" si="21"/>
        <v>5.1999999999999998E-2</v>
      </c>
      <c r="X119" s="254">
        <f t="shared" si="21"/>
        <v>4.8000000000000001E-2</v>
      </c>
      <c r="Y119" s="254">
        <f t="shared" si="21"/>
        <v>5.1000000000000004E-2</v>
      </c>
      <c r="Z119" s="254">
        <f t="shared" si="21"/>
        <v>5.5E-2</v>
      </c>
      <c r="AA119" s="254">
        <f t="shared" si="21"/>
        <v>5.3999999999999999E-2</v>
      </c>
      <c r="AB119" s="14">
        <f>AB120+AB121</f>
        <v>5.2000000000000005E-2</v>
      </c>
      <c r="AC119" s="342">
        <v>5.7000000000000002E-2</v>
      </c>
      <c r="AD119" s="342">
        <v>6.4000000000000001E-2</v>
      </c>
      <c r="AE119" s="342">
        <v>0.06</v>
      </c>
      <c r="AF119" s="342">
        <v>6.2E-2</v>
      </c>
      <c r="AG119" s="14">
        <v>6.0999999999999999E-2</v>
      </c>
      <c r="AH119" s="342">
        <v>7.0000000000000007E-2</v>
      </c>
      <c r="AI119" s="342">
        <v>7.4999999999999997E-2</v>
      </c>
      <c r="AJ119" s="342">
        <v>7.0999999999999994E-2</v>
      </c>
      <c r="AK119" s="342">
        <v>6.7000000000000004E-2</v>
      </c>
      <c r="AL119" s="14">
        <v>7.0999999999999994E-2</v>
      </c>
      <c r="AM119" s="342">
        <v>7.2999999999999995E-2</v>
      </c>
      <c r="AN119" s="342">
        <v>0.06</v>
      </c>
      <c r="AO119" s="342">
        <v>6.6000000000000003E-2</v>
      </c>
      <c r="AP119" s="342">
        <v>6.7000000000000004E-2</v>
      </c>
      <c r="AQ119" s="14">
        <v>6.7000000000000004E-2</v>
      </c>
      <c r="AR119" s="342">
        <v>6.3E-2</v>
      </c>
      <c r="AS119" s="342">
        <f>1-AS115</f>
        <v>6.2999999999999945E-2</v>
      </c>
      <c r="AT119" s="342">
        <v>6.4000000000000001E-2</v>
      </c>
      <c r="AU119" s="342">
        <v>0.06</v>
      </c>
      <c r="AV119" s="14">
        <v>6.3E-2</v>
      </c>
      <c r="AW119" s="342">
        <v>5.8000000000000052E-2</v>
      </c>
      <c r="AX119" s="254">
        <v>5.8000000000000003E-2</v>
      </c>
      <c r="AY119" s="342"/>
      <c r="AZ119" s="342"/>
      <c r="BA119" s="14"/>
      <c r="BB119" s="342"/>
      <c r="BC119" s="254"/>
      <c r="BD119" s="342"/>
      <c r="BE119" s="342"/>
      <c r="BF119" s="14"/>
      <c r="BG119" s="342"/>
      <c r="BH119" s="254"/>
      <c r="BI119" s="342"/>
      <c r="BJ119" s="342"/>
      <c r="BK119" s="14">
        <f t="shared" si="16"/>
        <v>0</v>
      </c>
      <c r="BL119" s="342"/>
      <c r="BM119" s="254"/>
      <c r="BN119" s="342"/>
      <c r="BO119" s="342"/>
      <c r="BP119" s="14"/>
    </row>
    <row r="120" spans="2:68" s="39" customFormat="1" ht="12" hidden="1" customHeight="1">
      <c r="B120" s="218"/>
      <c r="C120" s="37" t="s">
        <v>344</v>
      </c>
      <c r="D120" s="13"/>
      <c r="E120" s="13"/>
      <c r="F120" s="13"/>
      <c r="G120" s="13"/>
      <c r="H120" s="14"/>
      <c r="I120" s="13"/>
      <c r="J120" s="13"/>
      <c r="K120" s="13"/>
      <c r="L120" s="13"/>
      <c r="M120" s="14"/>
      <c r="N120" s="13"/>
      <c r="O120" s="13"/>
      <c r="P120" s="13"/>
      <c r="Q120" s="13"/>
      <c r="R120" s="14"/>
      <c r="S120" s="275">
        <v>1.4999999999999999E-2</v>
      </c>
      <c r="T120" s="275">
        <v>1.6E-2</v>
      </c>
      <c r="U120" s="275">
        <v>1.9E-2</v>
      </c>
      <c r="V120" s="275">
        <v>1.4999999999999999E-2</v>
      </c>
      <c r="W120" s="14">
        <v>1.6E-2</v>
      </c>
      <c r="X120" s="254">
        <v>1.7000000000000001E-2</v>
      </c>
      <c r="Y120" s="278">
        <v>2.1000000000000001E-2</v>
      </c>
      <c r="Z120" s="278">
        <v>2.1999999999999999E-2</v>
      </c>
      <c r="AA120" s="278">
        <v>2.4E-2</v>
      </c>
      <c r="AB120" s="14">
        <v>2.1000000000000001E-2</v>
      </c>
      <c r="AC120" s="343" t="s">
        <v>266</v>
      </c>
      <c r="AD120" s="343" t="s">
        <v>266</v>
      </c>
      <c r="AE120" s="343"/>
      <c r="AF120" s="343"/>
      <c r="AG120" s="14"/>
      <c r="AH120" s="343"/>
      <c r="AI120" s="343"/>
      <c r="AJ120" s="343"/>
      <c r="AK120" s="343"/>
      <c r="AL120" s="14"/>
      <c r="AM120" s="343"/>
      <c r="AN120" s="343"/>
      <c r="AO120" s="343"/>
      <c r="AP120" s="343"/>
      <c r="AQ120" s="14"/>
      <c r="AR120" s="343"/>
      <c r="AS120" s="343"/>
      <c r="AT120" s="343"/>
      <c r="AU120" s="343"/>
      <c r="AV120" s="14"/>
      <c r="AW120" s="343"/>
      <c r="AX120" s="343"/>
      <c r="AY120" s="343"/>
      <c r="AZ120" s="343"/>
      <c r="BA120" s="14"/>
      <c r="BB120" s="343"/>
      <c r="BC120" s="343"/>
      <c r="BD120" s="343"/>
      <c r="BE120" s="343"/>
      <c r="BF120" s="14"/>
      <c r="BG120" s="343"/>
      <c r="BH120" s="343"/>
      <c r="BI120" s="343"/>
      <c r="BJ120" s="343"/>
      <c r="BK120" s="14">
        <f t="shared" si="16"/>
        <v>0</v>
      </c>
      <c r="BL120" s="343"/>
      <c r="BM120" s="343"/>
      <c r="BN120" s="343"/>
      <c r="BO120" s="343"/>
      <c r="BP120" s="14"/>
    </row>
    <row r="121" spans="2:68" s="39" customFormat="1" ht="12" hidden="1" customHeight="1">
      <c r="B121" s="218"/>
      <c r="C121" s="37" t="s">
        <v>345</v>
      </c>
      <c r="D121" s="13"/>
      <c r="E121" s="13"/>
      <c r="F121" s="13"/>
      <c r="G121" s="13"/>
      <c r="H121" s="14"/>
      <c r="I121" s="13"/>
      <c r="J121" s="13"/>
      <c r="K121" s="13"/>
      <c r="L121" s="13"/>
      <c r="M121" s="14"/>
      <c r="N121" s="13"/>
      <c r="O121" s="13"/>
      <c r="P121" s="13"/>
      <c r="Q121" s="13"/>
      <c r="R121" s="14"/>
      <c r="S121" s="275">
        <v>3.9E-2</v>
      </c>
      <c r="T121" s="275">
        <v>3.5999999999999997E-2</v>
      </c>
      <c r="U121" s="275">
        <v>3.5000000000000003E-2</v>
      </c>
      <c r="V121" s="275">
        <v>3.4000000000000002E-2</v>
      </c>
      <c r="W121" s="14">
        <v>3.5999999999999997E-2</v>
      </c>
      <c r="X121" s="254">
        <v>3.1E-2</v>
      </c>
      <c r="Y121" s="278">
        <v>0.03</v>
      </c>
      <c r="Z121" s="278">
        <v>3.3000000000000002E-2</v>
      </c>
      <c r="AA121" s="278">
        <v>0.03</v>
      </c>
      <c r="AB121" s="14">
        <v>3.1E-2</v>
      </c>
      <c r="AC121" s="343" t="s">
        <v>266</v>
      </c>
      <c r="AD121" s="343" t="s">
        <v>266</v>
      </c>
      <c r="AE121" s="343"/>
      <c r="AF121" s="343"/>
      <c r="AG121" s="14"/>
      <c r="AH121" s="343"/>
      <c r="AI121" s="343"/>
      <c r="AJ121" s="343"/>
      <c r="AK121" s="343"/>
      <c r="AL121" s="14"/>
      <c r="AM121" s="343"/>
      <c r="AN121" s="343"/>
      <c r="AO121" s="343"/>
      <c r="AP121" s="343"/>
      <c r="AQ121" s="14"/>
      <c r="AR121" s="343"/>
      <c r="AS121" s="343"/>
      <c r="AT121" s="343"/>
      <c r="AU121" s="343"/>
      <c r="AV121" s="14"/>
      <c r="AW121" s="343"/>
      <c r="AX121" s="343"/>
      <c r="AY121" s="343"/>
      <c r="AZ121" s="343"/>
      <c r="BA121" s="14"/>
      <c r="BB121" s="343"/>
      <c r="BC121" s="343"/>
      <c r="BD121" s="343"/>
      <c r="BE121" s="343"/>
      <c r="BF121" s="14"/>
      <c r="BG121" s="343"/>
      <c r="BH121" s="343"/>
      <c r="BI121" s="343"/>
      <c r="BJ121" s="343"/>
      <c r="BK121" s="14">
        <f t="shared" si="16"/>
        <v>0</v>
      </c>
      <c r="BL121" s="343"/>
      <c r="BM121" s="343"/>
      <c r="BN121" s="343"/>
      <c r="BO121" s="343"/>
      <c r="BP121" s="14"/>
    </row>
    <row r="122" spans="2:68" s="39" customFormat="1" ht="12" hidden="1" customHeight="1">
      <c r="B122" s="218"/>
      <c r="C122" s="36"/>
      <c r="D122" s="13"/>
      <c r="E122" s="13"/>
      <c r="F122" s="13"/>
      <c r="G122" s="13"/>
      <c r="H122" s="14"/>
      <c r="I122" s="13"/>
      <c r="J122" s="13"/>
      <c r="K122" s="13"/>
      <c r="L122" s="13"/>
      <c r="M122" s="14"/>
      <c r="N122" s="13"/>
      <c r="O122" s="13"/>
      <c r="P122" s="13"/>
      <c r="Q122" s="13"/>
      <c r="R122" s="14"/>
      <c r="S122" s="255"/>
      <c r="T122" s="255"/>
      <c r="U122" s="255"/>
      <c r="V122" s="255"/>
      <c r="W122" s="14"/>
      <c r="X122" s="254"/>
      <c r="Y122" s="255"/>
      <c r="Z122" s="255"/>
      <c r="AA122" s="255"/>
      <c r="AB122" s="14"/>
      <c r="AC122" s="342"/>
      <c r="AD122" s="342"/>
      <c r="AE122" s="342"/>
      <c r="AF122" s="342"/>
      <c r="AG122" s="14"/>
      <c r="AH122" s="342"/>
      <c r="AI122" s="342"/>
      <c r="AJ122" s="342"/>
      <c r="AK122" s="342"/>
      <c r="AL122" s="14"/>
      <c r="AM122" s="342"/>
      <c r="AN122" s="342"/>
      <c r="AO122" s="342"/>
      <c r="AP122" s="342"/>
      <c r="AQ122" s="14"/>
      <c r="AR122" s="342"/>
      <c r="AS122" s="342"/>
      <c r="AT122" s="342"/>
      <c r="AU122" s="342"/>
      <c r="AV122" s="14"/>
      <c r="AW122" s="342"/>
      <c r="AX122" s="342"/>
      <c r="AY122" s="342"/>
      <c r="AZ122" s="342"/>
      <c r="BA122" s="14"/>
      <c r="BB122" s="342"/>
      <c r="BC122" s="342"/>
      <c r="BD122" s="342"/>
      <c r="BE122" s="342"/>
      <c r="BF122" s="14"/>
      <c r="BG122" s="342"/>
      <c r="BH122" s="342"/>
      <c r="BI122" s="342"/>
      <c r="BJ122" s="342"/>
      <c r="BK122" s="14">
        <f t="shared" si="16"/>
        <v>0</v>
      </c>
      <c r="BL122" s="342"/>
      <c r="BM122" s="342"/>
      <c r="BN122" s="342"/>
      <c r="BO122" s="342"/>
      <c r="BP122" s="14"/>
    </row>
    <row r="123" spans="2:68" s="39" customFormat="1">
      <c r="B123" s="218"/>
      <c r="C123" s="36"/>
      <c r="D123" s="13"/>
      <c r="E123" s="13"/>
      <c r="F123" s="13"/>
      <c r="G123" s="13"/>
      <c r="H123" s="14"/>
      <c r="I123" s="13"/>
      <c r="J123" s="13"/>
      <c r="K123" s="13"/>
      <c r="L123" s="13"/>
      <c r="M123" s="14"/>
      <c r="N123" s="13"/>
      <c r="O123" s="13"/>
      <c r="P123" s="13"/>
      <c r="Q123" s="13"/>
      <c r="R123" s="14"/>
      <c r="S123" s="13"/>
      <c r="T123" s="13"/>
      <c r="U123" s="13"/>
      <c r="V123" s="13"/>
      <c r="W123" s="14"/>
      <c r="X123" s="13"/>
      <c r="Y123" s="13"/>
      <c r="Z123" s="13"/>
      <c r="AA123" s="13"/>
      <c r="AB123" s="14"/>
      <c r="AC123" s="344"/>
      <c r="AD123" s="344"/>
      <c r="AE123" s="344"/>
      <c r="AF123" s="344"/>
      <c r="AG123" s="14"/>
      <c r="AH123" s="344"/>
      <c r="AI123" s="344"/>
      <c r="AJ123" s="344"/>
      <c r="AK123" s="344"/>
      <c r="AL123" s="14"/>
      <c r="AM123" s="344"/>
      <c r="AN123" s="344"/>
      <c r="AO123" s="344"/>
      <c r="AP123" s="344"/>
      <c r="AQ123" s="14"/>
      <c r="AR123" s="344"/>
      <c r="AS123" s="344"/>
      <c r="AT123" s="344"/>
      <c r="AU123" s="344"/>
      <c r="AV123" s="14"/>
      <c r="AW123" s="344"/>
      <c r="AX123" s="344"/>
      <c r="AY123" s="344"/>
      <c r="AZ123" s="344"/>
      <c r="BA123" s="14"/>
      <c r="BB123" s="344"/>
      <c r="BC123" s="344"/>
      <c r="BD123" s="344"/>
      <c r="BE123" s="344"/>
      <c r="BF123" s="14"/>
      <c r="BG123" s="344"/>
      <c r="BH123" s="344"/>
      <c r="BI123" s="344"/>
      <c r="BJ123" s="344"/>
      <c r="BK123" s="14"/>
      <c r="BL123" s="344"/>
      <c r="BM123" s="344"/>
      <c r="BN123" s="344"/>
      <c r="BO123" s="344"/>
      <c r="BP123" s="14"/>
    </row>
    <row r="124" spans="2:68">
      <c r="B124" s="218">
        <v>5</v>
      </c>
      <c r="C124" s="2" t="s">
        <v>349</v>
      </c>
      <c r="D124" s="19"/>
      <c r="E124" s="19"/>
      <c r="F124" s="19"/>
      <c r="G124" s="29"/>
      <c r="H124" s="28"/>
      <c r="I124" s="19"/>
      <c r="J124" s="19"/>
      <c r="K124" s="19"/>
      <c r="L124" s="29"/>
      <c r="M124" s="28"/>
      <c r="N124" s="19"/>
      <c r="O124" s="19"/>
      <c r="P124" s="19"/>
      <c r="Q124" s="29"/>
      <c r="R124" s="28"/>
      <c r="S124" s="19"/>
      <c r="T124" s="19"/>
      <c r="U124" s="19"/>
      <c r="V124" s="19"/>
      <c r="W124" s="28"/>
      <c r="X124" s="19"/>
      <c r="Y124" s="19"/>
      <c r="Z124" s="19"/>
      <c r="AA124" s="19"/>
      <c r="AB124" s="28"/>
      <c r="AC124" s="333"/>
      <c r="AD124" s="333"/>
      <c r="AE124" s="333"/>
      <c r="AF124" s="333"/>
      <c r="AG124" s="28"/>
      <c r="AH124" s="333"/>
      <c r="AI124" s="333"/>
      <c r="AJ124" s="333"/>
      <c r="AK124" s="333"/>
      <c r="AL124" s="28"/>
      <c r="AM124" s="333"/>
      <c r="AN124" s="333"/>
      <c r="AO124" s="333"/>
      <c r="AP124" s="333"/>
      <c r="AQ124" s="28"/>
      <c r="AR124" s="333"/>
      <c r="AS124" s="333"/>
      <c r="AT124" s="333"/>
      <c r="AU124" s="333"/>
      <c r="AV124" s="28"/>
      <c r="AW124" s="333"/>
      <c r="AX124" s="333"/>
      <c r="AY124" s="333"/>
      <c r="AZ124" s="333"/>
      <c r="BA124" s="28"/>
      <c r="BB124" s="333"/>
      <c r="BC124" s="333"/>
      <c r="BD124" s="333"/>
      <c r="BE124" s="333"/>
      <c r="BF124" s="28"/>
      <c r="BG124" s="333"/>
      <c r="BH124" s="333"/>
      <c r="BI124" s="333"/>
      <c r="BJ124" s="333"/>
      <c r="BK124" s="28"/>
      <c r="BL124" s="333"/>
      <c r="BM124" s="333"/>
      <c r="BN124" s="333"/>
      <c r="BO124" s="333"/>
      <c r="BP124" s="28"/>
    </row>
    <row r="125" spans="2:68" ht="12" hidden="1" customHeight="1">
      <c r="B125" s="218" t="s">
        <v>295</v>
      </c>
      <c r="C125" s="44" t="s">
        <v>350</v>
      </c>
      <c r="D125" s="8">
        <v>3.4000000000000002E-2</v>
      </c>
      <c r="E125" s="8">
        <v>3.4000000000000002E-2</v>
      </c>
      <c r="F125" s="8">
        <v>3.2000000000000001E-2</v>
      </c>
      <c r="G125" s="10">
        <v>3.5000000000000003E-2</v>
      </c>
      <c r="H125" s="9">
        <v>3.3000000000000002E-2</v>
      </c>
      <c r="I125" s="8">
        <v>3.6999999999999998E-2</v>
      </c>
      <c r="J125" s="8">
        <v>3.6999999999999998E-2</v>
      </c>
      <c r="K125" s="8">
        <v>3.5000000000000003E-2</v>
      </c>
      <c r="L125" s="10">
        <v>3.5999999999999997E-2</v>
      </c>
      <c r="M125" s="9">
        <v>3.5999999999999997E-2</v>
      </c>
      <c r="N125" s="8">
        <v>3.5999999999999997E-2</v>
      </c>
      <c r="O125" s="8">
        <v>3.5000000000000003E-2</v>
      </c>
      <c r="P125" s="8">
        <v>3.1E-2</v>
      </c>
      <c r="Q125" s="10">
        <v>3.3000000000000002E-2</v>
      </c>
      <c r="R125" s="9">
        <v>3.4000000000000002E-2</v>
      </c>
      <c r="S125" s="8">
        <v>3.3000000000000002E-2</v>
      </c>
      <c r="T125" s="8">
        <v>3.4000000000000002E-2</v>
      </c>
      <c r="U125" s="8">
        <v>3.4000000000000002E-2</v>
      </c>
      <c r="V125" s="8">
        <v>3.5999999999999997E-2</v>
      </c>
      <c r="W125" s="9">
        <v>3.4000000000000002E-2</v>
      </c>
      <c r="X125" s="8">
        <v>3.6999999999999998E-2</v>
      </c>
      <c r="Y125" s="8">
        <v>3.9E-2</v>
      </c>
      <c r="Z125" s="8">
        <v>3.4000000000000002E-2</v>
      </c>
      <c r="AA125" s="8">
        <v>3.3000000000000002E-2</v>
      </c>
      <c r="AB125" s="9">
        <v>3.5999999999999997E-2</v>
      </c>
      <c r="AC125" s="336">
        <v>3.2000000000000001E-2</v>
      </c>
      <c r="AD125" s="336">
        <v>3.2000000000000001E-2</v>
      </c>
      <c r="AE125" s="336">
        <v>0.03</v>
      </c>
      <c r="AF125" s="336">
        <v>3.1E-2</v>
      </c>
      <c r="AG125" s="9">
        <v>3.1E-2</v>
      </c>
      <c r="AH125" s="336">
        <v>3.4000000000000002E-2</v>
      </c>
      <c r="AI125" s="336" t="s">
        <v>266</v>
      </c>
      <c r="AJ125" s="336"/>
      <c r="AK125" s="336"/>
      <c r="AL125" s="9"/>
      <c r="AM125" s="336"/>
      <c r="AN125" s="336"/>
      <c r="AO125" s="336"/>
      <c r="AP125" s="336"/>
      <c r="AQ125" s="9"/>
      <c r="AR125" s="336"/>
      <c r="AS125" s="336"/>
      <c r="AT125" s="336"/>
      <c r="AU125" s="336"/>
      <c r="AV125" s="9"/>
      <c r="AW125" s="336"/>
      <c r="AX125" s="336"/>
      <c r="AY125" s="336"/>
      <c r="AZ125" s="336"/>
      <c r="BA125" s="9"/>
      <c r="BB125" s="336"/>
      <c r="BC125" s="336"/>
      <c r="BD125" s="336"/>
      <c r="BE125" s="336"/>
      <c r="BF125" s="9"/>
      <c r="BG125" s="336"/>
      <c r="BH125" s="336"/>
      <c r="BI125" s="336"/>
      <c r="BJ125" s="336"/>
      <c r="BK125" s="9">
        <f t="shared" si="16"/>
        <v>0</v>
      </c>
      <c r="BL125" s="336"/>
      <c r="BM125" s="336"/>
      <c r="BN125" s="336"/>
      <c r="BO125" s="336"/>
      <c r="BP125" s="9"/>
    </row>
    <row r="126" spans="2:68" ht="12" customHeight="1">
      <c r="B126" s="218" t="s">
        <v>295</v>
      </c>
      <c r="C126" s="44" t="s">
        <v>351</v>
      </c>
      <c r="D126" s="8">
        <v>0.13700000000000001</v>
      </c>
      <c r="E126" s="8">
        <v>0.13600000000000001</v>
      </c>
      <c r="F126" s="8">
        <v>0.13300000000000001</v>
      </c>
      <c r="G126" s="8">
        <v>0.13900000000000001</v>
      </c>
      <c r="H126" s="9">
        <v>0.13500000000000001</v>
      </c>
      <c r="I126" s="8">
        <v>0.14000000000000001</v>
      </c>
      <c r="J126" s="8">
        <v>0.14000000000000001</v>
      </c>
      <c r="K126" s="8">
        <v>0.13900000000000001</v>
      </c>
      <c r="L126" s="8">
        <v>0.13700000000000001</v>
      </c>
      <c r="M126" s="9">
        <v>0.13700000000000001</v>
      </c>
      <c r="N126" s="8">
        <v>0.13800000000000001</v>
      </c>
      <c r="O126" s="8">
        <v>0.13100000000000001</v>
      </c>
      <c r="P126" s="8">
        <v>0.123</v>
      </c>
      <c r="Q126" s="8">
        <v>0.122</v>
      </c>
      <c r="R126" s="9">
        <v>0.126</v>
      </c>
      <c r="S126" s="8"/>
      <c r="T126" s="8"/>
      <c r="U126" s="8"/>
      <c r="V126" s="8"/>
      <c r="W126" s="9"/>
      <c r="X126" s="8"/>
      <c r="Y126" s="8"/>
      <c r="Z126" s="8"/>
      <c r="AA126" s="8"/>
      <c r="AB126" s="9"/>
      <c r="AC126" s="336">
        <v>0.121</v>
      </c>
      <c r="AD126" s="336">
        <v>0.115</v>
      </c>
      <c r="AE126" s="336">
        <v>0.113</v>
      </c>
      <c r="AF126" s="336">
        <v>0.113</v>
      </c>
      <c r="AG126" s="9">
        <v>0.11600000000000001</v>
      </c>
      <c r="AH126" s="336">
        <v>0.11799999999999999</v>
      </c>
      <c r="AI126" s="336">
        <v>0.113</v>
      </c>
      <c r="AJ126" s="336">
        <v>0.108</v>
      </c>
      <c r="AK126" s="336">
        <v>0.109</v>
      </c>
      <c r="AL126" s="9">
        <v>0.11</v>
      </c>
      <c r="AM126" s="336">
        <v>0.113</v>
      </c>
      <c r="AN126" s="336">
        <v>0.114</v>
      </c>
      <c r="AO126" s="336">
        <v>0.12</v>
      </c>
      <c r="AP126" s="336">
        <v>0.11799999999999999</v>
      </c>
      <c r="AQ126" s="9">
        <v>0.114</v>
      </c>
      <c r="AR126" s="336">
        <v>0.13</v>
      </c>
      <c r="AS126" s="336">
        <v>0.126</v>
      </c>
      <c r="AT126" s="336">
        <v>0.13100000000000001</v>
      </c>
      <c r="AU126" s="336">
        <v>0.13</v>
      </c>
      <c r="AV126" s="9">
        <v>0.127</v>
      </c>
      <c r="AW126" s="336">
        <v>0.13400000000000001</v>
      </c>
      <c r="AX126" s="336">
        <v>0.13300000000000001</v>
      </c>
      <c r="AY126" s="336">
        <v>0.13400000000000001</v>
      </c>
      <c r="AZ126" s="336">
        <v>0.13600000000000001</v>
      </c>
      <c r="BA126" s="9">
        <v>0.13300000000000001</v>
      </c>
      <c r="BB126" s="336">
        <v>0.13500000000000001</v>
      </c>
      <c r="BC126" s="8">
        <v>0.13700000000000001</v>
      </c>
      <c r="BD126" s="336">
        <v>0.127</v>
      </c>
      <c r="BE126" s="336">
        <v>0.13100000000000001</v>
      </c>
      <c r="BF126" s="9">
        <v>0.13200000000000001</v>
      </c>
      <c r="BG126" s="336">
        <v>0.13200000000000001</v>
      </c>
      <c r="BH126" s="8">
        <v>0.13</v>
      </c>
      <c r="BI126" s="336">
        <v>0.128</v>
      </c>
      <c r="BJ126" s="336">
        <v>0.126</v>
      </c>
      <c r="BK126" s="9">
        <v>0.129</v>
      </c>
      <c r="BL126" s="336">
        <v>0.121</v>
      </c>
      <c r="BM126" s="8">
        <v>0.122</v>
      </c>
      <c r="BN126" s="336"/>
      <c r="BO126" s="336"/>
      <c r="BP126" s="9">
        <v>0.122</v>
      </c>
    </row>
    <row r="127" spans="2:68">
      <c r="B127" s="218"/>
      <c r="C127" s="44" t="s">
        <v>352</v>
      </c>
      <c r="D127" s="8">
        <v>0.22900000000000001</v>
      </c>
      <c r="E127" s="8">
        <v>0.22900000000000001</v>
      </c>
      <c r="F127" s="8">
        <v>0.224</v>
      </c>
      <c r="G127" s="10">
        <v>0.22700000000000001</v>
      </c>
      <c r="H127" s="9">
        <v>0.22700000000000001</v>
      </c>
      <c r="I127" s="8">
        <v>0.23</v>
      </c>
      <c r="J127" s="8">
        <v>0.22800000000000001</v>
      </c>
      <c r="K127" s="8">
        <v>0.22600000000000001</v>
      </c>
      <c r="L127" s="10">
        <v>0.218</v>
      </c>
      <c r="M127" s="9">
        <v>0.22500000000000001</v>
      </c>
      <c r="N127" s="8">
        <v>0.222</v>
      </c>
      <c r="O127" s="8">
        <v>0.218</v>
      </c>
      <c r="P127" s="8">
        <v>0.20100000000000001</v>
      </c>
      <c r="Q127" s="10">
        <v>0.20200000000000001</v>
      </c>
      <c r="R127" s="9">
        <v>0.21</v>
      </c>
      <c r="S127" s="8">
        <v>0.2</v>
      </c>
      <c r="T127" s="8">
        <v>0.19500000000000001</v>
      </c>
      <c r="U127" s="8">
        <v>0.192</v>
      </c>
      <c r="V127" s="8">
        <v>0.192</v>
      </c>
      <c r="W127" s="9">
        <v>0.193</v>
      </c>
      <c r="X127" s="8">
        <v>0.192</v>
      </c>
      <c r="Y127" s="8">
        <v>0.19400000000000001</v>
      </c>
      <c r="Z127" s="8">
        <v>0.192</v>
      </c>
      <c r="AA127" s="8">
        <v>0.19700000000000001</v>
      </c>
      <c r="AB127" s="9">
        <v>0.19</v>
      </c>
      <c r="AC127" s="336">
        <v>0.2</v>
      </c>
      <c r="AD127" s="336">
        <v>0.192</v>
      </c>
      <c r="AE127" s="336">
        <v>0.189</v>
      </c>
      <c r="AF127" s="336">
        <v>0.187</v>
      </c>
      <c r="AG127" s="9">
        <v>0.192</v>
      </c>
      <c r="AH127" s="336">
        <v>0.193</v>
      </c>
      <c r="AI127" s="336">
        <v>0.187</v>
      </c>
      <c r="AJ127" s="336">
        <v>0.185</v>
      </c>
      <c r="AK127" s="336">
        <v>0.183</v>
      </c>
      <c r="AL127" s="9">
        <v>0.18099999999999999</v>
      </c>
      <c r="AM127" s="336">
        <v>0.188</v>
      </c>
      <c r="AN127" s="336">
        <v>0.19400000000000001</v>
      </c>
      <c r="AO127" s="336">
        <v>0.20200000000000001</v>
      </c>
      <c r="AP127" s="336">
        <v>0.19400000000000001</v>
      </c>
      <c r="AQ127" s="9">
        <v>0.193</v>
      </c>
      <c r="AR127" s="336">
        <v>0.20799999999999999</v>
      </c>
      <c r="AS127" s="336">
        <v>0.20200000000000001</v>
      </c>
      <c r="AT127" s="336">
        <v>0.20499999999999999</v>
      </c>
      <c r="AU127" s="336">
        <v>0.20100000000000001</v>
      </c>
      <c r="AV127" s="9">
        <v>0.20200000000000001</v>
      </c>
      <c r="AW127" s="336">
        <v>0.20399999999999999</v>
      </c>
      <c r="AX127" s="336">
        <v>0.19900000000000001</v>
      </c>
      <c r="AY127" s="336">
        <v>0.2</v>
      </c>
      <c r="AZ127" s="336">
        <v>0.20399999999999999</v>
      </c>
      <c r="BA127" s="9">
        <v>0.2</v>
      </c>
      <c r="BB127" s="336">
        <v>0.20899999999999999</v>
      </c>
      <c r="BC127" s="8">
        <v>0.20899999999999999</v>
      </c>
      <c r="BD127" s="336">
        <v>0.19900000000000001</v>
      </c>
      <c r="BE127" s="336">
        <v>0.20699999999999999</v>
      </c>
      <c r="BF127" s="9">
        <v>0.20499999999999999</v>
      </c>
      <c r="BG127" s="336">
        <v>0.20799999999999999</v>
      </c>
      <c r="BH127" s="8">
        <v>0.20699999999999999</v>
      </c>
      <c r="BI127" s="336">
        <v>0.20599999999999999</v>
      </c>
      <c r="BJ127" s="336">
        <v>0.20200000000000001</v>
      </c>
      <c r="BK127" s="9">
        <v>0.20599999999999999</v>
      </c>
      <c r="BL127" s="336">
        <v>0.19900000000000001</v>
      </c>
      <c r="BM127" s="8">
        <v>0.19800000000000001</v>
      </c>
      <c r="BN127" s="336"/>
      <c r="BO127" s="336"/>
      <c r="BP127" s="9">
        <v>0.19800000000000001</v>
      </c>
    </row>
    <row r="128" spans="2:68">
      <c r="B128" s="218"/>
      <c r="C128" s="44" t="s">
        <v>353</v>
      </c>
      <c r="D128" s="8"/>
      <c r="E128" s="8"/>
      <c r="F128" s="8"/>
      <c r="G128" s="10"/>
      <c r="H128" s="9"/>
      <c r="I128" s="8"/>
      <c r="J128" s="8"/>
      <c r="K128" s="8"/>
      <c r="L128" s="10"/>
      <c r="M128" s="9"/>
      <c r="N128" s="8">
        <v>0.38</v>
      </c>
      <c r="O128" s="8">
        <v>0.37</v>
      </c>
      <c r="P128" s="8">
        <v>0.36299999999999999</v>
      </c>
      <c r="Q128" s="10">
        <v>0.36499999999999999</v>
      </c>
      <c r="R128" s="9">
        <v>0.36699999999999999</v>
      </c>
      <c r="S128" s="8">
        <v>0.36</v>
      </c>
      <c r="T128" s="8">
        <v>0.36</v>
      </c>
      <c r="U128" s="8">
        <v>0.35299999999999998</v>
      </c>
      <c r="V128" s="8">
        <v>0.35399999999999998</v>
      </c>
      <c r="W128" s="9">
        <v>0.35299999999999998</v>
      </c>
      <c r="X128" s="8">
        <v>0.34899999999999998</v>
      </c>
      <c r="Y128" s="8">
        <v>0.34699999999999998</v>
      </c>
      <c r="Z128" s="8">
        <v>0.33900000000000002</v>
      </c>
      <c r="AA128" s="8">
        <v>0.35</v>
      </c>
      <c r="AB128" s="9">
        <v>0.34100000000000003</v>
      </c>
      <c r="AC128" s="336">
        <v>0.34899999999999998</v>
      </c>
      <c r="AD128" s="336">
        <v>0.34599999999999997</v>
      </c>
      <c r="AE128" s="336">
        <v>0.34200000000000003</v>
      </c>
      <c r="AF128" s="336">
        <v>0.34100000000000003</v>
      </c>
      <c r="AG128" s="9">
        <v>0.34399999999999997</v>
      </c>
      <c r="AH128" s="336">
        <v>0.34599999999999997</v>
      </c>
      <c r="AI128" s="336">
        <v>0.34200000000000003</v>
      </c>
      <c r="AJ128" s="336">
        <v>0.34599999999999997</v>
      </c>
      <c r="AK128" s="336">
        <v>0.34200000000000003</v>
      </c>
      <c r="AL128" s="9">
        <v>0.33900000000000002</v>
      </c>
      <c r="AM128" s="336">
        <v>0.34399999999999997</v>
      </c>
      <c r="AN128" s="336">
        <v>0.35399999999999998</v>
      </c>
      <c r="AO128" s="336">
        <v>0.35899999999999999</v>
      </c>
      <c r="AP128" s="336">
        <v>0.35399999999999998</v>
      </c>
      <c r="AQ128" s="9">
        <v>0.35099999999999998</v>
      </c>
      <c r="AR128" s="336">
        <v>0.36299999999999999</v>
      </c>
      <c r="AS128" s="336">
        <v>0.35299999999999998</v>
      </c>
      <c r="AT128" s="336">
        <v>0.35299999999999998</v>
      </c>
      <c r="AU128" s="336">
        <v>0.34699999999999998</v>
      </c>
      <c r="AV128" s="9">
        <v>0.35399999999999998</v>
      </c>
      <c r="AW128" s="336">
        <v>0.34599999999999997</v>
      </c>
      <c r="AX128" s="336">
        <v>0.34100000000000003</v>
      </c>
      <c r="AY128" s="336">
        <v>0.33700000000000002</v>
      </c>
      <c r="AZ128" s="336">
        <v>0.34300000000000003</v>
      </c>
      <c r="BA128" s="9">
        <v>0.33900000000000002</v>
      </c>
      <c r="BB128" s="336">
        <v>0.34899999999999998</v>
      </c>
      <c r="BC128" s="8">
        <v>0.34699999999999998</v>
      </c>
      <c r="BD128" s="336">
        <v>0.34200000000000003</v>
      </c>
      <c r="BE128" s="336">
        <v>0.34799999999999998</v>
      </c>
      <c r="BF128" s="9">
        <v>0.34499999999999997</v>
      </c>
      <c r="BG128" s="336">
        <v>0.35199999999999998</v>
      </c>
      <c r="BH128" s="8">
        <v>0.35199999999999998</v>
      </c>
      <c r="BI128" s="336">
        <v>0.35</v>
      </c>
      <c r="BJ128" s="336">
        <v>0.34499999999999997</v>
      </c>
      <c r="BK128" s="9">
        <v>0.35</v>
      </c>
      <c r="BL128" s="336">
        <v>0.33900000000000002</v>
      </c>
      <c r="BM128" s="8">
        <v>0.34</v>
      </c>
      <c r="BN128" s="336"/>
      <c r="BO128" s="336"/>
      <c r="BP128" s="9">
        <v>0.33700000000000002</v>
      </c>
    </row>
    <row r="129" spans="2:68">
      <c r="B129" s="218"/>
      <c r="C129" s="44" t="s">
        <v>354</v>
      </c>
      <c r="D129" s="19">
        <v>910</v>
      </c>
      <c r="E129" s="19">
        <v>912</v>
      </c>
      <c r="F129" s="19">
        <v>932</v>
      </c>
      <c r="G129" s="29">
        <v>950</v>
      </c>
      <c r="H129" s="28">
        <v>950</v>
      </c>
      <c r="I129" s="19">
        <v>987</v>
      </c>
      <c r="J129" s="19">
        <v>1011</v>
      </c>
      <c r="K129" s="19">
        <v>1045</v>
      </c>
      <c r="L129" s="29">
        <v>1092</v>
      </c>
      <c r="M129" s="28">
        <v>1092</v>
      </c>
      <c r="N129" s="19">
        <v>1126</v>
      </c>
      <c r="O129" s="19">
        <v>1136</v>
      </c>
      <c r="P129" s="19">
        <v>1152</v>
      </c>
      <c r="Q129" s="29">
        <v>1162</v>
      </c>
      <c r="R129" s="28">
        <v>1162</v>
      </c>
      <c r="S129" s="19">
        <v>1164</v>
      </c>
      <c r="T129" s="19">
        <v>1173</v>
      </c>
      <c r="U129" s="19">
        <v>1191</v>
      </c>
      <c r="V129" s="19">
        <v>1204</v>
      </c>
      <c r="W129" s="28">
        <v>1204</v>
      </c>
      <c r="X129" s="19">
        <v>1214</v>
      </c>
      <c r="Y129" s="19">
        <v>1222</v>
      </c>
      <c r="Z129" s="19">
        <v>1251</v>
      </c>
      <c r="AA129" s="19">
        <v>1279</v>
      </c>
      <c r="AB129" s="28">
        <v>1279</v>
      </c>
      <c r="AC129" s="333">
        <v>1336</v>
      </c>
      <c r="AD129" s="333">
        <v>1364</v>
      </c>
      <c r="AE129" s="333">
        <v>1384</v>
      </c>
      <c r="AF129" s="333">
        <v>1411</v>
      </c>
      <c r="AG129" s="28">
        <v>1411</v>
      </c>
      <c r="AH129" s="333">
        <v>1458</v>
      </c>
      <c r="AI129" s="333">
        <v>1487</v>
      </c>
      <c r="AJ129" s="333">
        <v>1562</v>
      </c>
      <c r="AK129" s="333">
        <v>1626</v>
      </c>
      <c r="AL129" s="28">
        <v>1626</v>
      </c>
      <c r="AM129" s="333">
        <v>1659</v>
      </c>
      <c r="AN129" s="333">
        <v>1714</v>
      </c>
      <c r="AO129" s="333">
        <v>1738</v>
      </c>
      <c r="AP129" s="333">
        <v>1741</v>
      </c>
      <c r="AQ129" s="28">
        <v>1741</v>
      </c>
      <c r="AR129" s="333">
        <v>1778</v>
      </c>
      <c r="AS129" s="333">
        <v>1779</v>
      </c>
      <c r="AT129" s="333">
        <v>1850</v>
      </c>
      <c r="AU129" s="333">
        <v>1872</v>
      </c>
      <c r="AV129" s="28">
        <v>1872</v>
      </c>
      <c r="AW129" s="333">
        <v>1883</v>
      </c>
      <c r="AX129" s="333">
        <v>1884</v>
      </c>
      <c r="AY129" s="333">
        <v>1872</v>
      </c>
      <c r="AZ129" s="333">
        <v>1882</v>
      </c>
      <c r="BA129" s="28">
        <f>AZ129</f>
        <v>1882</v>
      </c>
      <c r="BB129" s="333">
        <v>1867</v>
      </c>
      <c r="BC129" s="333">
        <v>1870</v>
      </c>
      <c r="BD129" s="333">
        <v>1876</v>
      </c>
      <c r="BE129" s="333">
        <v>1869</v>
      </c>
      <c r="BF129" s="28">
        <f>BE129</f>
        <v>1869</v>
      </c>
      <c r="BG129" s="333">
        <v>1861</v>
      </c>
      <c r="BH129" s="333">
        <v>1896</v>
      </c>
      <c r="BI129" s="333">
        <v>1949</v>
      </c>
      <c r="BJ129" s="333">
        <v>1965</v>
      </c>
      <c r="BK129" s="28">
        <f>BJ129</f>
        <v>1965</v>
      </c>
      <c r="BL129" s="333">
        <v>2027</v>
      </c>
      <c r="BM129" s="333">
        <v>2060</v>
      </c>
      <c r="BN129" s="333"/>
      <c r="BO129" s="333"/>
      <c r="BP129" s="28">
        <f>BM129</f>
        <v>2060</v>
      </c>
    </row>
    <row r="130" spans="2:68">
      <c r="B130" s="218"/>
      <c r="C130" s="44" t="s">
        <v>355</v>
      </c>
      <c r="D130" s="19">
        <v>61</v>
      </c>
      <c r="E130" s="19">
        <v>49</v>
      </c>
      <c r="F130" s="19">
        <v>59</v>
      </c>
      <c r="G130" s="29">
        <v>52</v>
      </c>
      <c r="H130" s="28">
        <f>SUM(D130:G130)</f>
        <v>221</v>
      </c>
      <c r="I130" s="19">
        <v>79</v>
      </c>
      <c r="J130" s="19">
        <v>82</v>
      </c>
      <c r="K130" s="19">
        <v>75</v>
      </c>
      <c r="L130" s="29">
        <v>89</v>
      </c>
      <c r="M130" s="28">
        <f>SUM(I130:L130)</f>
        <v>325</v>
      </c>
      <c r="N130" s="19">
        <v>95</v>
      </c>
      <c r="O130" s="19">
        <v>78</v>
      </c>
      <c r="P130" s="19">
        <v>77</v>
      </c>
      <c r="Q130" s="29">
        <v>71</v>
      </c>
      <c r="R130" s="28">
        <f>SUM(N130:Q130)</f>
        <v>321</v>
      </c>
      <c r="S130" s="19">
        <v>59</v>
      </c>
      <c r="T130" s="19">
        <v>72</v>
      </c>
      <c r="U130" s="19">
        <v>79</v>
      </c>
      <c r="V130" s="19">
        <v>73</v>
      </c>
      <c r="W130" s="28">
        <f>SUM(S130:V130)</f>
        <v>283</v>
      </c>
      <c r="X130" s="19">
        <v>70</v>
      </c>
      <c r="Y130" s="19">
        <v>73</v>
      </c>
      <c r="Z130" s="19">
        <v>101</v>
      </c>
      <c r="AA130" s="19">
        <v>101</v>
      </c>
      <c r="AB130" s="28">
        <f>SUM(X130:AA130)</f>
        <v>345</v>
      </c>
      <c r="AC130" s="333">
        <v>112</v>
      </c>
      <c r="AD130" s="333">
        <v>96</v>
      </c>
      <c r="AE130" s="333">
        <v>84</v>
      </c>
      <c r="AF130" s="333">
        <v>84</v>
      </c>
      <c r="AG130" s="28">
        <f>SUM(AC130:AF130)</f>
        <v>376</v>
      </c>
      <c r="AH130" s="333">
        <v>110</v>
      </c>
      <c r="AI130" s="333">
        <v>96</v>
      </c>
      <c r="AJ130" s="333">
        <v>139</v>
      </c>
      <c r="AK130" s="333">
        <v>130</v>
      </c>
      <c r="AL130" s="28">
        <f>SUM(AH130:AK130)</f>
        <v>475</v>
      </c>
      <c r="AM130" s="333">
        <v>113</v>
      </c>
      <c r="AN130" s="333">
        <v>117</v>
      </c>
      <c r="AO130" s="333">
        <v>111</v>
      </c>
      <c r="AP130" s="333">
        <v>110</v>
      </c>
      <c r="AQ130" s="28">
        <f>SUM(AM130:AP130)</f>
        <v>451</v>
      </c>
      <c r="AR130" s="333">
        <v>106</v>
      </c>
      <c r="AS130" s="333">
        <v>103</v>
      </c>
      <c r="AT130" s="333">
        <v>134</v>
      </c>
      <c r="AU130" s="333">
        <v>115</v>
      </c>
      <c r="AV130" s="28">
        <f>SUM(AR130:AU130)</f>
        <v>458</v>
      </c>
      <c r="AW130" s="333">
        <v>99</v>
      </c>
      <c r="AX130" s="333">
        <v>100</v>
      </c>
      <c r="AY130" s="333">
        <v>88</v>
      </c>
      <c r="AZ130" s="333">
        <v>98</v>
      </c>
      <c r="BA130" s="28">
        <f>SUM(AW130:AZ130)</f>
        <v>385</v>
      </c>
      <c r="BB130" s="333">
        <v>87</v>
      </c>
      <c r="BC130" s="333">
        <v>86</v>
      </c>
      <c r="BD130" s="333">
        <v>101</v>
      </c>
      <c r="BE130" s="333">
        <v>91</v>
      </c>
      <c r="BF130" s="28">
        <f>SUM(BB130:BE130)</f>
        <v>365</v>
      </c>
      <c r="BG130" s="333">
        <v>93</v>
      </c>
      <c r="BH130" s="333">
        <v>118</v>
      </c>
      <c r="BI130" s="333">
        <v>121</v>
      </c>
      <c r="BJ130" s="333">
        <v>111</v>
      </c>
      <c r="BK130" s="28">
        <f>SUM(BG130:BJ130)</f>
        <v>443</v>
      </c>
      <c r="BL130" s="333">
        <v>155</v>
      </c>
      <c r="BM130" s="333">
        <v>142</v>
      </c>
      <c r="BN130" s="333"/>
      <c r="BO130" s="333"/>
      <c r="BP130" s="28">
        <f>SUM(BL130:BO130)</f>
        <v>297</v>
      </c>
    </row>
    <row r="131" spans="2:68">
      <c r="B131" s="218"/>
      <c r="C131" s="44"/>
      <c r="D131" s="19"/>
      <c r="E131" s="19"/>
      <c r="F131" s="19"/>
      <c r="G131" s="29"/>
      <c r="H131" s="28"/>
      <c r="I131" s="19"/>
      <c r="J131" s="19"/>
      <c r="K131" s="19"/>
      <c r="L131" s="29"/>
      <c r="M131" s="28"/>
      <c r="N131" s="19"/>
      <c r="O131" s="19"/>
      <c r="P131" s="19"/>
      <c r="Q131" s="29"/>
      <c r="R131" s="28"/>
      <c r="S131" s="19"/>
      <c r="T131" s="19"/>
      <c r="U131" s="19"/>
      <c r="V131" s="19"/>
      <c r="W131" s="28"/>
      <c r="X131" s="19"/>
      <c r="Y131" s="19"/>
      <c r="Z131" s="19"/>
      <c r="AA131" s="19"/>
      <c r="AB131" s="28"/>
      <c r="AC131" s="333"/>
      <c r="AD131" s="333"/>
      <c r="AE131" s="333"/>
      <c r="AF131" s="333"/>
      <c r="AG131" s="28"/>
      <c r="AH131" s="333"/>
      <c r="AI131" s="333"/>
      <c r="AJ131" s="333"/>
      <c r="AK131" s="333"/>
      <c r="AL131" s="28"/>
      <c r="AM131" s="333"/>
      <c r="AN131" s="333"/>
      <c r="AO131" s="333"/>
      <c r="AP131" s="333"/>
      <c r="AQ131" s="28"/>
      <c r="AR131" s="333"/>
      <c r="AS131" s="333"/>
      <c r="AT131" s="333"/>
      <c r="AU131" s="333"/>
      <c r="AV131" s="28"/>
      <c r="AW131" s="333"/>
      <c r="AX131" s="333"/>
      <c r="AY131" s="333"/>
      <c r="AZ131" s="333"/>
      <c r="BA131" s="28"/>
      <c r="BB131" s="333"/>
      <c r="BC131" s="333"/>
      <c r="BD131" s="333"/>
      <c r="BE131" s="333"/>
      <c r="BF131" s="28"/>
      <c r="BG131" s="333"/>
      <c r="BH131" s="333"/>
      <c r="BI131" s="333"/>
      <c r="BJ131" s="333"/>
      <c r="BK131" s="28"/>
      <c r="BL131" s="333"/>
      <c r="BM131" s="333"/>
      <c r="BN131" s="333"/>
      <c r="BO131" s="333"/>
      <c r="BP131" s="28"/>
    </row>
    <row r="132" spans="2:68" ht="12" hidden="1" customHeight="1">
      <c r="B132" s="218" t="s">
        <v>292</v>
      </c>
      <c r="C132" s="45" t="s">
        <v>356</v>
      </c>
      <c r="D132" s="8">
        <v>0.99</v>
      </c>
      <c r="E132" s="8">
        <v>0.98099999999999998</v>
      </c>
      <c r="F132" s="8">
        <v>0.97399999999999998</v>
      </c>
      <c r="G132" s="10">
        <v>0.96599999999999997</v>
      </c>
      <c r="H132" s="9">
        <v>0.97799999999999998</v>
      </c>
      <c r="I132" s="8">
        <v>0.98399999999999999</v>
      </c>
      <c r="J132" s="8">
        <v>0.97599999999999998</v>
      </c>
      <c r="K132" s="8">
        <v>0.96799999999999997</v>
      </c>
      <c r="L132" s="10">
        <v>0.95799999999999996</v>
      </c>
      <c r="M132" s="9">
        <v>0.97099999999999997</v>
      </c>
      <c r="N132" s="8">
        <v>0.98799999999999999</v>
      </c>
      <c r="O132" s="8">
        <v>0.97499999999999998</v>
      </c>
      <c r="P132" s="8">
        <v>0.96699999999999997</v>
      </c>
      <c r="Q132" s="10">
        <v>0.96199999999999997</v>
      </c>
      <c r="R132" s="9">
        <v>0.97299999999999998</v>
      </c>
      <c r="S132" s="8">
        <v>0.99399999999999999</v>
      </c>
      <c r="T132" s="8">
        <v>0.98699999999999999</v>
      </c>
      <c r="U132" s="8">
        <v>0.98299999999999998</v>
      </c>
      <c r="V132" s="8">
        <v>0.97599999999999998</v>
      </c>
      <c r="W132" s="9">
        <v>0.98499999999999999</v>
      </c>
      <c r="X132" s="8">
        <v>0.995</v>
      </c>
      <c r="Y132" s="8">
        <v>0.98199999999999998</v>
      </c>
      <c r="Z132" s="8">
        <v>0.96599999999999997</v>
      </c>
      <c r="AA132" s="8">
        <v>0.95199999999999996</v>
      </c>
      <c r="AB132" s="9">
        <v>0.97299999999999998</v>
      </c>
      <c r="AC132" s="336">
        <v>0.99</v>
      </c>
      <c r="AD132" s="336">
        <v>0.98099999999999998</v>
      </c>
      <c r="AE132" s="336">
        <v>0.97199999999999998</v>
      </c>
      <c r="AF132" s="336">
        <v>0.95899999999999996</v>
      </c>
      <c r="AG132" s="9">
        <v>0.97499999999999998</v>
      </c>
      <c r="AH132" s="336">
        <v>0.99</v>
      </c>
      <c r="AI132" s="336">
        <v>0.98</v>
      </c>
      <c r="AJ132" s="336">
        <v>0.95099999999999996</v>
      </c>
      <c r="AK132" s="336">
        <v>0.93400000000000005</v>
      </c>
      <c r="AL132" s="9">
        <v>0.96199999999999997</v>
      </c>
      <c r="AM132" s="336" t="s">
        <v>357</v>
      </c>
      <c r="AN132" s="336"/>
      <c r="AO132" s="336"/>
      <c r="AP132" s="336"/>
      <c r="AQ132" s="9" t="s">
        <v>357</v>
      </c>
      <c r="AR132" s="336"/>
      <c r="AS132" s="336"/>
      <c r="AT132" s="336"/>
      <c r="AU132" s="336"/>
      <c r="AV132" s="9"/>
      <c r="AW132" s="336"/>
      <c r="AX132" s="336"/>
      <c r="AY132" s="336"/>
      <c r="AZ132" s="336"/>
      <c r="BA132" s="9"/>
      <c r="BB132" s="336"/>
      <c r="BC132" s="336"/>
      <c r="BD132" s="336"/>
      <c r="BE132" s="336"/>
      <c r="BF132" s="9"/>
      <c r="BG132" s="336"/>
      <c r="BH132" s="336"/>
      <c r="BI132" s="336"/>
      <c r="BJ132" s="336"/>
      <c r="BK132" s="9">
        <f t="shared" si="16"/>
        <v>0</v>
      </c>
      <c r="BL132" s="336"/>
      <c r="BM132" s="336"/>
      <c r="BN132" s="336"/>
      <c r="BO132" s="336"/>
      <c r="BP132" s="9"/>
    </row>
    <row r="133" spans="2:68" ht="12" hidden="1" customHeight="1">
      <c r="B133" s="218"/>
      <c r="C133" s="45"/>
      <c r="D133" s="8"/>
      <c r="E133" s="8"/>
      <c r="F133" s="8"/>
      <c r="G133" s="10"/>
      <c r="H133" s="9"/>
      <c r="I133" s="8"/>
      <c r="J133" s="8"/>
      <c r="K133" s="8"/>
      <c r="L133" s="10"/>
      <c r="M133" s="9"/>
      <c r="N133" s="8"/>
      <c r="O133" s="8"/>
      <c r="P133" s="8"/>
      <c r="Q133" s="10"/>
      <c r="R133" s="9"/>
      <c r="S133" s="8"/>
      <c r="T133" s="8"/>
      <c r="U133" s="8"/>
      <c r="V133" s="8"/>
      <c r="W133" s="9"/>
      <c r="X133" s="8"/>
      <c r="Y133" s="8"/>
      <c r="Z133" s="8"/>
      <c r="AA133" s="8"/>
      <c r="AB133" s="9"/>
      <c r="AC133" s="336"/>
      <c r="AD133" s="336"/>
      <c r="AE133" s="336"/>
      <c r="AF133" s="336"/>
      <c r="AG133" s="9"/>
      <c r="AH133" s="336"/>
      <c r="AI133" s="336"/>
      <c r="AJ133" s="336"/>
      <c r="AK133" s="336"/>
      <c r="AL133" s="9"/>
      <c r="AM133" s="336"/>
      <c r="AN133" s="336"/>
      <c r="AO133" s="336"/>
      <c r="AP133" s="336"/>
      <c r="AQ133" s="9"/>
      <c r="AR133" s="336"/>
      <c r="AS133" s="336"/>
      <c r="AT133" s="336"/>
      <c r="AU133" s="336"/>
      <c r="AV133" s="9"/>
      <c r="AW133" s="336"/>
      <c r="AX133" s="336"/>
      <c r="AY133" s="336"/>
      <c r="AZ133" s="336"/>
      <c r="BA133" s="9"/>
      <c r="BB133" s="336"/>
      <c r="BC133" s="336"/>
      <c r="BD133" s="336"/>
      <c r="BE133" s="336"/>
      <c r="BF133" s="9"/>
      <c r="BG133" s="336"/>
      <c r="BH133" s="336"/>
      <c r="BI133" s="336"/>
      <c r="BJ133" s="336"/>
      <c r="BK133" s="9">
        <f t="shared" si="16"/>
        <v>0</v>
      </c>
      <c r="BL133" s="336"/>
      <c r="BM133" s="336"/>
      <c r="BN133" s="336"/>
      <c r="BO133" s="336"/>
      <c r="BP133" s="9"/>
    </row>
    <row r="134" spans="2:68">
      <c r="B134" s="218" t="s">
        <v>292</v>
      </c>
      <c r="C134" s="45" t="s">
        <v>358</v>
      </c>
      <c r="D134" s="8"/>
      <c r="E134" s="8"/>
      <c r="F134" s="8"/>
      <c r="G134" s="10"/>
      <c r="H134" s="9"/>
      <c r="I134" s="8"/>
      <c r="J134" s="8"/>
      <c r="K134" s="8"/>
      <c r="L134" s="10"/>
      <c r="M134" s="9"/>
      <c r="N134" s="8"/>
      <c r="O134" s="8"/>
      <c r="P134" s="8"/>
      <c r="Q134" s="10"/>
      <c r="R134" s="9"/>
      <c r="S134" s="8"/>
      <c r="T134" s="8"/>
      <c r="U134" s="8"/>
      <c r="V134" s="8"/>
      <c r="W134" s="9"/>
      <c r="X134" s="8"/>
      <c r="Y134" s="8"/>
      <c r="Z134" s="8"/>
      <c r="AA134" s="8"/>
      <c r="AB134" s="9"/>
      <c r="AC134" s="336"/>
      <c r="AD134" s="336"/>
      <c r="AE134" s="336"/>
      <c r="AF134" s="336"/>
      <c r="AG134" s="9"/>
      <c r="AH134" s="336"/>
      <c r="AI134" s="336"/>
      <c r="AJ134" s="336"/>
      <c r="AK134" s="336"/>
      <c r="AL134" s="9"/>
      <c r="AM134" s="336"/>
      <c r="AN134" s="336"/>
      <c r="AO134" s="336"/>
      <c r="AP134" s="336"/>
      <c r="AQ134" s="9"/>
      <c r="AR134" s="336"/>
      <c r="AS134" s="336"/>
      <c r="AT134" s="336"/>
      <c r="AU134" s="336"/>
      <c r="AV134" s="9"/>
      <c r="AW134" s="336"/>
      <c r="AX134" s="336"/>
      <c r="AY134" s="336"/>
      <c r="AZ134" s="336"/>
      <c r="BA134" s="9"/>
      <c r="BB134" s="336"/>
      <c r="BC134" s="336"/>
      <c r="BD134" s="336"/>
      <c r="BE134" s="336"/>
      <c r="BF134" s="9"/>
      <c r="BG134" s="336"/>
      <c r="BH134" s="336"/>
      <c r="BI134" s="336"/>
      <c r="BJ134" s="336"/>
      <c r="BK134" s="9"/>
      <c r="BL134" s="336"/>
      <c r="BM134" s="336"/>
      <c r="BN134" s="336"/>
      <c r="BO134" s="336"/>
      <c r="BP134" s="9"/>
    </row>
    <row r="135" spans="2:68" s="17" customFormat="1">
      <c r="B135" s="220"/>
      <c r="C135" s="47" t="s">
        <v>359</v>
      </c>
      <c r="D135" s="19">
        <v>520</v>
      </c>
      <c r="E135" s="19">
        <v>526</v>
      </c>
      <c r="F135" s="19">
        <v>532</v>
      </c>
      <c r="G135" s="29">
        <v>529</v>
      </c>
      <c r="H135" s="28">
        <f t="shared" ref="H135:H142" si="22">G135</f>
        <v>529</v>
      </c>
      <c r="I135" s="19">
        <v>535</v>
      </c>
      <c r="J135" s="19">
        <v>542</v>
      </c>
      <c r="K135" s="19">
        <v>555</v>
      </c>
      <c r="L135" s="29">
        <v>558</v>
      </c>
      <c r="M135" s="28">
        <v>558</v>
      </c>
      <c r="N135" s="19">
        <v>574</v>
      </c>
      <c r="O135" s="19">
        <v>577</v>
      </c>
      <c r="P135" s="19">
        <v>591</v>
      </c>
      <c r="Q135" s="29">
        <v>598</v>
      </c>
      <c r="R135" s="28">
        <v>598</v>
      </c>
      <c r="S135" s="19">
        <v>606</v>
      </c>
      <c r="T135" s="19">
        <v>620</v>
      </c>
      <c r="U135" s="19">
        <v>630</v>
      </c>
      <c r="V135" s="19">
        <v>634</v>
      </c>
      <c r="W135" s="28">
        <v>634</v>
      </c>
      <c r="X135" s="19">
        <v>627</v>
      </c>
      <c r="Y135" s="19">
        <v>633</v>
      </c>
      <c r="Z135" s="19">
        <v>651</v>
      </c>
      <c r="AA135" s="19">
        <v>662</v>
      </c>
      <c r="AB135" s="28">
        <v>662</v>
      </c>
      <c r="AC135" s="333">
        <v>680</v>
      </c>
      <c r="AD135" s="333">
        <v>693</v>
      </c>
      <c r="AE135" s="333">
        <v>705</v>
      </c>
      <c r="AF135" s="333">
        <v>718</v>
      </c>
      <c r="AG135" s="28">
        <v>718</v>
      </c>
      <c r="AH135" s="333">
        <v>729</v>
      </c>
      <c r="AI135" s="333">
        <v>745</v>
      </c>
      <c r="AJ135" s="333">
        <v>761</v>
      </c>
      <c r="AK135" s="333">
        <v>779</v>
      </c>
      <c r="AL135" s="28">
        <v>779</v>
      </c>
      <c r="AM135" s="333">
        <v>805</v>
      </c>
      <c r="AN135" s="333">
        <v>841</v>
      </c>
      <c r="AO135" s="333">
        <v>854</v>
      </c>
      <c r="AP135" s="333">
        <v>853</v>
      </c>
      <c r="AQ135" s="28">
        <v>853</v>
      </c>
      <c r="AR135" s="333">
        <v>877</v>
      </c>
      <c r="AS135" s="333">
        <v>895</v>
      </c>
      <c r="AT135" s="333">
        <v>912</v>
      </c>
      <c r="AU135" s="333">
        <v>922</v>
      </c>
      <c r="AV135" s="28">
        <v>922</v>
      </c>
      <c r="AW135" s="333">
        <v>940</v>
      </c>
      <c r="AX135" s="333">
        <v>951</v>
      </c>
      <c r="AY135" s="333">
        <v>944</v>
      </c>
      <c r="AZ135" s="333">
        <v>959</v>
      </c>
      <c r="BA135" s="28">
        <f>AZ135</f>
        <v>959</v>
      </c>
      <c r="BB135" s="333">
        <v>987</v>
      </c>
      <c r="BC135" s="333">
        <v>985</v>
      </c>
      <c r="BD135" s="333">
        <v>997</v>
      </c>
      <c r="BE135" s="333">
        <v>992</v>
      </c>
      <c r="BF135" s="28">
        <f>BE135</f>
        <v>992</v>
      </c>
      <c r="BG135" s="333">
        <v>1011</v>
      </c>
      <c r="BH135" s="333">
        <v>1012</v>
      </c>
      <c r="BI135" s="333">
        <v>1012</v>
      </c>
      <c r="BJ135" s="333">
        <v>1018</v>
      </c>
      <c r="BK135" s="28">
        <f>BJ135</f>
        <v>1018</v>
      </c>
      <c r="BL135" s="333">
        <v>1026</v>
      </c>
      <c r="BM135" s="333">
        <v>1048</v>
      </c>
      <c r="BN135" s="333"/>
      <c r="BO135" s="333"/>
      <c r="BP135" s="28">
        <f>BM135</f>
        <v>1048</v>
      </c>
    </row>
    <row r="136" spans="2:68" s="17" customFormat="1" ht="12" hidden="1" customHeight="1">
      <c r="B136" s="220"/>
      <c r="C136" s="47" t="s">
        <v>360</v>
      </c>
      <c r="D136" s="19">
        <v>235</v>
      </c>
      <c r="E136" s="19">
        <v>237</v>
      </c>
      <c r="F136" s="19">
        <v>240</v>
      </c>
      <c r="G136" s="29">
        <v>244</v>
      </c>
      <c r="H136" s="28">
        <f t="shared" si="22"/>
        <v>244</v>
      </c>
      <c r="I136" s="19">
        <v>248</v>
      </c>
      <c r="J136" s="19">
        <v>258</v>
      </c>
      <c r="K136" s="19">
        <v>261</v>
      </c>
      <c r="L136" s="29">
        <v>268</v>
      </c>
      <c r="M136" s="28">
        <v>268</v>
      </c>
      <c r="N136" s="19">
        <v>268</v>
      </c>
      <c r="O136" s="19">
        <v>277</v>
      </c>
      <c r="P136" s="19">
        <v>275</v>
      </c>
      <c r="Q136" s="29">
        <v>282</v>
      </c>
      <c r="R136" s="28">
        <v>282</v>
      </c>
      <c r="S136" s="19">
        <v>279</v>
      </c>
      <c r="T136" s="19">
        <v>286</v>
      </c>
      <c r="U136" s="19">
        <v>290</v>
      </c>
      <c r="V136" s="19">
        <v>295</v>
      </c>
      <c r="W136" s="28">
        <v>295</v>
      </c>
      <c r="X136" s="19" t="s">
        <v>266</v>
      </c>
      <c r="Y136" s="19"/>
      <c r="Z136" s="19"/>
      <c r="AA136" s="19"/>
      <c r="AB136" s="28"/>
      <c r="AC136" s="333"/>
      <c r="AD136" s="333"/>
      <c r="AE136" s="333"/>
      <c r="AF136" s="333"/>
      <c r="AG136" s="28"/>
      <c r="AH136" s="333"/>
      <c r="AI136" s="333"/>
      <c r="AJ136" s="333"/>
      <c r="AK136" s="333"/>
      <c r="AL136" s="28"/>
      <c r="AM136" s="333"/>
      <c r="AN136" s="333"/>
      <c r="AO136" s="333"/>
      <c r="AP136" s="333"/>
      <c r="AQ136" s="28"/>
      <c r="AR136" s="333"/>
      <c r="AS136" s="333"/>
      <c r="AT136" s="333"/>
      <c r="AU136" s="333"/>
      <c r="AV136" s="28"/>
      <c r="AW136" s="333"/>
      <c r="AX136" s="333"/>
      <c r="AY136" s="333"/>
      <c r="AZ136" s="333"/>
      <c r="BA136" s="28">
        <f t="shared" ref="BA136:BA141" si="23">AZ136</f>
        <v>0</v>
      </c>
      <c r="BB136" s="333"/>
      <c r="BC136" s="333"/>
      <c r="BD136" s="333"/>
      <c r="BE136" s="333"/>
      <c r="BF136" s="28"/>
      <c r="BG136" s="333"/>
      <c r="BH136" s="333"/>
      <c r="BI136" s="333"/>
      <c r="BJ136" s="333"/>
      <c r="BK136" s="28">
        <f>BI136</f>
        <v>0</v>
      </c>
      <c r="BL136" s="333"/>
      <c r="BM136" s="333"/>
      <c r="BN136" s="333"/>
      <c r="BO136" s="333"/>
      <c r="BP136" s="28">
        <f t="shared" ref="BP136:BP141" si="24">BM136</f>
        <v>0</v>
      </c>
    </row>
    <row r="137" spans="2:68" s="17" customFormat="1">
      <c r="B137" s="220"/>
      <c r="C137" s="47" t="s">
        <v>361</v>
      </c>
      <c r="D137" s="19">
        <v>148</v>
      </c>
      <c r="E137" s="19">
        <v>150</v>
      </c>
      <c r="F137" s="19">
        <v>154</v>
      </c>
      <c r="G137" s="29">
        <v>159</v>
      </c>
      <c r="H137" s="28">
        <f t="shared" si="22"/>
        <v>159</v>
      </c>
      <c r="I137" s="19">
        <v>161</v>
      </c>
      <c r="J137" s="19">
        <v>169</v>
      </c>
      <c r="K137" s="19">
        <v>171</v>
      </c>
      <c r="L137" s="29">
        <v>177</v>
      </c>
      <c r="M137" s="28">
        <v>177</v>
      </c>
      <c r="N137" s="19">
        <v>180</v>
      </c>
      <c r="O137" s="19">
        <v>186</v>
      </c>
      <c r="P137" s="19">
        <v>195</v>
      </c>
      <c r="Q137" s="29">
        <v>189</v>
      </c>
      <c r="R137" s="28">
        <v>189</v>
      </c>
      <c r="S137" s="19">
        <v>190</v>
      </c>
      <c r="T137" s="19">
        <v>186</v>
      </c>
      <c r="U137" s="19">
        <v>198</v>
      </c>
      <c r="V137" s="19">
        <v>198</v>
      </c>
      <c r="W137" s="28">
        <v>198</v>
      </c>
      <c r="X137" s="19">
        <v>200</v>
      </c>
      <c r="Y137" s="19">
        <v>205</v>
      </c>
      <c r="Z137" s="19">
        <v>214</v>
      </c>
      <c r="AA137" s="19">
        <v>222</v>
      </c>
      <c r="AB137" s="28">
        <v>222</v>
      </c>
      <c r="AC137" s="333">
        <v>228</v>
      </c>
      <c r="AD137" s="333">
        <v>228</v>
      </c>
      <c r="AE137" s="333">
        <v>232</v>
      </c>
      <c r="AF137" s="333">
        <v>234</v>
      </c>
      <c r="AG137" s="28">
        <v>234</v>
      </c>
      <c r="AH137" s="333">
        <v>236</v>
      </c>
      <c r="AI137" s="333">
        <v>242</v>
      </c>
      <c r="AJ137" s="333">
        <v>246</v>
      </c>
      <c r="AK137" s="333">
        <v>252</v>
      </c>
      <c r="AL137" s="28">
        <v>252</v>
      </c>
      <c r="AM137" s="333">
        <v>264</v>
      </c>
      <c r="AN137" s="333">
        <v>270</v>
      </c>
      <c r="AO137" s="333">
        <v>274</v>
      </c>
      <c r="AP137" s="333">
        <v>275</v>
      </c>
      <c r="AQ137" s="28">
        <v>275</v>
      </c>
      <c r="AR137" s="333">
        <v>278</v>
      </c>
      <c r="AS137" s="333">
        <v>281</v>
      </c>
      <c r="AT137" s="333">
        <v>294</v>
      </c>
      <c r="AU137" s="333">
        <v>298</v>
      </c>
      <c r="AV137" s="28">
        <v>298</v>
      </c>
      <c r="AW137" s="333">
        <v>312</v>
      </c>
      <c r="AX137" s="333">
        <v>312</v>
      </c>
      <c r="AY137" s="333">
        <v>308</v>
      </c>
      <c r="AZ137" s="333">
        <v>315</v>
      </c>
      <c r="BA137" s="28">
        <f t="shared" si="23"/>
        <v>315</v>
      </c>
      <c r="BB137" s="333">
        <v>309</v>
      </c>
      <c r="BC137" s="333">
        <v>307</v>
      </c>
      <c r="BD137" s="333">
        <v>301</v>
      </c>
      <c r="BE137" s="333">
        <v>309</v>
      </c>
      <c r="BF137" s="28">
        <f>BE137</f>
        <v>309</v>
      </c>
      <c r="BG137" s="333">
        <v>317</v>
      </c>
      <c r="BH137" s="333">
        <v>322</v>
      </c>
      <c r="BI137" s="333">
        <v>326</v>
      </c>
      <c r="BJ137" s="333">
        <v>328</v>
      </c>
      <c r="BK137" s="28">
        <f>BJ137</f>
        <v>328</v>
      </c>
      <c r="BL137" s="333">
        <v>333</v>
      </c>
      <c r="BM137" s="333">
        <v>322</v>
      </c>
      <c r="BN137" s="333"/>
      <c r="BO137" s="333"/>
      <c r="BP137" s="28">
        <f t="shared" si="24"/>
        <v>322</v>
      </c>
    </row>
    <row r="138" spans="2:68" s="17" customFormat="1" ht="12" hidden="1" customHeight="1">
      <c r="B138" s="220"/>
      <c r="C138" s="47" t="s">
        <v>362</v>
      </c>
      <c r="D138" s="19">
        <v>78</v>
      </c>
      <c r="E138" s="19">
        <v>83</v>
      </c>
      <c r="F138" s="19">
        <v>83</v>
      </c>
      <c r="G138" s="29">
        <v>83</v>
      </c>
      <c r="H138" s="28">
        <f t="shared" si="22"/>
        <v>83</v>
      </c>
      <c r="I138" s="19">
        <v>83</v>
      </c>
      <c r="J138" s="19">
        <v>85</v>
      </c>
      <c r="K138" s="19">
        <v>89</v>
      </c>
      <c r="L138" s="29">
        <v>88</v>
      </c>
      <c r="M138" s="28">
        <v>88</v>
      </c>
      <c r="N138" s="19">
        <v>87</v>
      </c>
      <c r="O138" s="19">
        <v>89</v>
      </c>
      <c r="P138" s="19">
        <v>90</v>
      </c>
      <c r="Q138" s="29">
        <v>91</v>
      </c>
      <c r="R138" s="28">
        <v>91</v>
      </c>
      <c r="S138" s="19">
        <v>97</v>
      </c>
      <c r="T138" s="19">
        <v>100</v>
      </c>
      <c r="U138" s="19">
        <v>101</v>
      </c>
      <c r="V138" s="19">
        <v>105</v>
      </c>
      <c r="W138" s="28">
        <v>105</v>
      </c>
      <c r="X138" s="19" t="s">
        <v>266</v>
      </c>
      <c r="Y138" s="19"/>
      <c r="Z138" s="19"/>
      <c r="AA138" s="19"/>
      <c r="AB138" s="28"/>
      <c r="AC138" s="333"/>
      <c r="AD138" s="333"/>
      <c r="AE138" s="333"/>
      <c r="AF138" s="333"/>
      <c r="AG138" s="28"/>
      <c r="AH138" s="333"/>
      <c r="AI138" s="333"/>
      <c r="AJ138" s="333"/>
      <c r="AK138" s="333"/>
      <c r="AL138" s="28"/>
      <c r="AM138" s="333"/>
      <c r="AN138" s="333"/>
      <c r="AO138" s="333"/>
      <c r="AP138" s="333"/>
      <c r="AQ138" s="28"/>
      <c r="AR138" s="333"/>
      <c r="AS138" s="333"/>
      <c r="AT138" s="333"/>
      <c r="AU138" s="333"/>
      <c r="AV138" s="28"/>
      <c r="AW138" s="333"/>
      <c r="AX138" s="333"/>
      <c r="AY138" s="333"/>
      <c r="AZ138" s="333"/>
      <c r="BA138" s="28">
        <f t="shared" si="23"/>
        <v>0</v>
      </c>
      <c r="BB138" s="333"/>
      <c r="BC138" s="333"/>
      <c r="BD138" s="333"/>
      <c r="BE138" s="333"/>
      <c r="BF138" s="28">
        <f>BD138</f>
        <v>0</v>
      </c>
      <c r="BG138" s="333"/>
      <c r="BH138" s="333"/>
      <c r="BI138" s="333"/>
      <c r="BJ138" s="333"/>
      <c r="BK138" s="28">
        <f>BJ138</f>
        <v>0</v>
      </c>
      <c r="BL138" s="333"/>
      <c r="BM138" s="333"/>
      <c r="BN138" s="333"/>
      <c r="BO138" s="333"/>
      <c r="BP138" s="28">
        <f t="shared" si="24"/>
        <v>0</v>
      </c>
    </row>
    <row r="139" spans="2:68" s="17" customFormat="1">
      <c r="B139" s="220"/>
      <c r="C139" s="47" t="s">
        <v>363</v>
      </c>
      <c r="D139" s="19">
        <v>43</v>
      </c>
      <c r="E139" s="19">
        <v>43</v>
      </c>
      <c r="F139" s="19">
        <v>46</v>
      </c>
      <c r="G139" s="29">
        <v>47</v>
      </c>
      <c r="H139" s="28">
        <f t="shared" si="22"/>
        <v>47</v>
      </c>
      <c r="I139" s="19">
        <v>49</v>
      </c>
      <c r="J139" s="19">
        <v>50</v>
      </c>
      <c r="K139" s="19">
        <v>51</v>
      </c>
      <c r="L139" s="29">
        <v>52</v>
      </c>
      <c r="M139" s="28">
        <v>52</v>
      </c>
      <c r="N139" s="19">
        <v>52</v>
      </c>
      <c r="O139" s="19">
        <v>54</v>
      </c>
      <c r="P139" s="19">
        <v>54</v>
      </c>
      <c r="Q139" s="29">
        <v>56</v>
      </c>
      <c r="R139" s="28">
        <v>56</v>
      </c>
      <c r="S139" s="19">
        <v>56</v>
      </c>
      <c r="T139" s="19">
        <v>55</v>
      </c>
      <c r="U139" s="19">
        <v>56</v>
      </c>
      <c r="V139" s="19">
        <v>57</v>
      </c>
      <c r="W139" s="28">
        <v>57</v>
      </c>
      <c r="X139" s="19">
        <v>56</v>
      </c>
      <c r="Y139" s="19">
        <v>58</v>
      </c>
      <c r="Z139" s="19">
        <v>59</v>
      </c>
      <c r="AA139" s="19">
        <v>60</v>
      </c>
      <c r="AB139" s="28">
        <v>60</v>
      </c>
      <c r="AC139" s="333">
        <v>59</v>
      </c>
      <c r="AD139" s="333">
        <v>61</v>
      </c>
      <c r="AE139" s="333">
        <v>61</v>
      </c>
      <c r="AF139" s="333">
        <v>61</v>
      </c>
      <c r="AG139" s="28">
        <v>61</v>
      </c>
      <c r="AH139" s="333">
        <v>60</v>
      </c>
      <c r="AI139" s="333">
        <v>60</v>
      </c>
      <c r="AJ139" s="333">
        <v>60</v>
      </c>
      <c r="AK139" s="333">
        <v>59</v>
      </c>
      <c r="AL139" s="28">
        <v>59</v>
      </c>
      <c r="AM139" s="333">
        <v>59</v>
      </c>
      <c r="AN139" s="333">
        <v>62</v>
      </c>
      <c r="AO139" s="333">
        <v>64</v>
      </c>
      <c r="AP139" s="333">
        <v>64</v>
      </c>
      <c r="AQ139" s="28">
        <v>64</v>
      </c>
      <c r="AR139" s="333">
        <v>69</v>
      </c>
      <c r="AS139" s="333">
        <v>77</v>
      </c>
      <c r="AT139" s="333">
        <v>79</v>
      </c>
      <c r="AU139" s="333">
        <v>75</v>
      </c>
      <c r="AV139" s="28">
        <v>75</v>
      </c>
      <c r="AW139" s="333">
        <v>79</v>
      </c>
      <c r="AX139" s="333">
        <v>80</v>
      </c>
      <c r="AY139" s="333">
        <v>82</v>
      </c>
      <c r="AZ139" s="333">
        <v>83</v>
      </c>
      <c r="BA139" s="28">
        <f t="shared" si="23"/>
        <v>83</v>
      </c>
      <c r="BB139" s="333">
        <v>84</v>
      </c>
      <c r="BC139" s="333">
        <v>86</v>
      </c>
      <c r="BD139" s="333">
        <v>89</v>
      </c>
      <c r="BE139" s="333">
        <v>85</v>
      </c>
      <c r="BF139" s="28">
        <f>BE139</f>
        <v>85</v>
      </c>
      <c r="BG139" s="333">
        <v>85</v>
      </c>
      <c r="BH139" s="333">
        <v>85</v>
      </c>
      <c r="BI139" s="333">
        <v>84</v>
      </c>
      <c r="BJ139" s="333">
        <v>88</v>
      </c>
      <c r="BK139" s="28">
        <f>BJ139</f>
        <v>88</v>
      </c>
      <c r="BL139" s="333">
        <v>85</v>
      </c>
      <c r="BM139" s="333">
        <v>87</v>
      </c>
      <c r="BN139" s="333"/>
      <c r="BO139" s="333"/>
      <c r="BP139" s="28">
        <f t="shared" si="24"/>
        <v>87</v>
      </c>
    </row>
    <row r="140" spans="2:68" s="17" customFormat="1" ht="12" hidden="1" customHeight="1">
      <c r="B140" s="220"/>
      <c r="C140" s="47" t="s">
        <v>364</v>
      </c>
      <c r="D140" s="19">
        <v>24</v>
      </c>
      <c r="E140" s="19">
        <v>27</v>
      </c>
      <c r="F140" s="19">
        <v>29</v>
      </c>
      <c r="G140" s="29">
        <v>29</v>
      </c>
      <c r="H140" s="28">
        <f t="shared" si="22"/>
        <v>29</v>
      </c>
      <c r="I140" s="19">
        <v>28</v>
      </c>
      <c r="J140" s="19">
        <v>31</v>
      </c>
      <c r="K140" s="19">
        <v>28</v>
      </c>
      <c r="L140" s="29">
        <v>31</v>
      </c>
      <c r="M140" s="28">
        <v>31</v>
      </c>
      <c r="N140" s="19">
        <v>31</v>
      </c>
      <c r="O140" s="19">
        <v>30</v>
      </c>
      <c r="P140" s="19">
        <v>32</v>
      </c>
      <c r="Q140" s="29">
        <v>31</v>
      </c>
      <c r="R140" s="28">
        <v>31</v>
      </c>
      <c r="S140" s="19">
        <v>31</v>
      </c>
      <c r="T140" s="19">
        <v>31</v>
      </c>
      <c r="U140" s="19">
        <v>34</v>
      </c>
      <c r="V140" s="19">
        <v>35</v>
      </c>
      <c r="W140" s="28">
        <v>35</v>
      </c>
      <c r="X140" s="19" t="s">
        <v>266</v>
      </c>
      <c r="Y140" s="19"/>
      <c r="Z140" s="19"/>
      <c r="AA140" s="19"/>
      <c r="AB140" s="28"/>
      <c r="AC140" s="333"/>
      <c r="AD140" s="333"/>
      <c r="AE140" s="333"/>
      <c r="AF140" s="333"/>
      <c r="AG140" s="28"/>
      <c r="AH140" s="333"/>
      <c r="AI140" s="333"/>
      <c r="AJ140" s="333"/>
      <c r="AK140" s="333"/>
      <c r="AL140" s="28"/>
      <c r="AM140" s="333"/>
      <c r="AN140" s="333"/>
      <c r="AO140" s="333"/>
      <c r="AP140" s="333"/>
      <c r="AQ140" s="28"/>
      <c r="AR140" s="333"/>
      <c r="AS140" s="333"/>
      <c r="AT140" s="333"/>
      <c r="AU140" s="333"/>
      <c r="AV140" s="28"/>
      <c r="AW140" s="333"/>
      <c r="AX140" s="333"/>
      <c r="AY140" s="333"/>
      <c r="AZ140" s="333"/>
      <c r="BA140" s="28">
        <f t="shared" si="23"/>
        <v>0</v>
      </c>
      <c r="BB140" s="333"/>
      <c r="BC140" s="333"/>
      <c r="BD140" s="333"/>
      <c r="BE140" s="333"/>
      <c r="BF140" s="28">
        <f>BD140</f>
        <v>0</v>
      </c>
      <c r="BG140" s="333"/>
      <c r="BH140" s="333"/>
      <c r="BI140" s="333"/>
      <c r="BJ140" s="333"/>
      <c r="BK140" s="28">
        <f>BJ140</f>
        <v>0</v>
      </c>
      <c r="BL140" s="333"/>
      <c r="BM140" s="333"/>
      <c r="BN140" s="333"/>
      <c r="BO140" s="333"/>
      <c r="BP140" s="28">
        <f t="shared" si="24"/>
        <v>0</v>
      </c>
    </row>
    <row r="141" spans="2:68" s="17" customFormat="1">
      <c r="B141" s="220"/>
      <c r="C141" s="47" t="s">
        <v>365</v>
      </c>
      <c r="D141" s="19">
        <v>12</v>
      </c>
      <c r="E141" s="19">
        <v>13</v>
      </c>
      <c r="F141" s="19">
        <v>14</v>
      </c>
      <c r="G141" s="29">
        <v>15</v>
      </c>
      <c r="H141" s="28">
        <f t="shared" si="22"/>
        <v>15</v>
      </c>
      <c r="I141" s="19">
        <v>14</v>
      </c>
      <c r="J141" s="19">
        <v>14</v>
      </c>
      <c r="K141" s="19">
        <v>13</v>
      </c>
      <c r="L141" s="29">
        <v>14</v>
      </c>
      <c r="M141" s="28">
        <v>14</v>
      </c>
      <c r="N141" s="19">
        <v>17</v>
      </c>
      <c r="O141" s="19">
        <v>18</v>
      </c>
      <c r="P141" s="19">
        <v>18</v>
      </c>
      <c r="Q141" s="29">
        <v>19</v>
      </c>
      <c r="R141" s="28">
        <v>19</v>
      </c>
      <c r="S141" s="19">
        <v>18</v>
      </c>
      <c r="T141" s="19">
        <v>19</v>
      </c>
      <c r="U141" s="19">
        <v>20</v>
      </c>
      <c r="V141" s="19">
        <v>20</v>
      </c>
      <c r="W141" s="28">
        <v>20</v>
      </c>
      <c r="X141" s="19">
        <v>24</v>
      </c>
      <c r="Y141" s="19">
        <v>23</v>
      </c>
      <c r="Z141" s="19">
        <v>23</v>
      </c>
      <c r="AA141" s="19">
        <v>25</v>
      </c>
      <c r="AB141" s="28">
        <v>25</v>
      </c>
      <c r="AC141" s="333">
        <v>27</v>
      </c>
      <c r="AD141" s="333">
        <v>27</v>
      </c>
      <c r="AE141" s="333">
        <v>28</v>
      </c>
      <c r="AF141" s="333">
        <v>28</v>
      </c>
      <c r="AG141" s="28">
        <v>28</v>
      </c>
      <c r="AH141" s="333">
        <v>25</v>
      </c>
      <c r="AI141" s="333">
        <v>30</v>
      </c>
      <c r="AJ141" s="333">
        <v>29</v>
      </c>
      <c r="AK141" s="333">
        <v>32</v>
      </c>
      <c r="AL141" s="28">
        <v>32</v>
      </c>
      <c r="AM141" s="333">
        <v>34</v>
      </c>
      <c r="AN141" s="333">
        <v>35</v>
      </c>
      <c r="AO141" s="333">
        <v>37</v>
      </c>
      <c r="AP141" s="333">
        <v>38</v>
      </c>
      <c r="AQ141" s="28">
        <v>38</v>
      </c>
      <c r="AR141" s="333">
        <v>38</v>
      </c>
      <c r="AS141" s="333">
        <v>39</v>
      </c>
      <c r="AT141" s="333">
        <v>38</v>
      </c>
      <c r="AU141" s="333">
        <v>40</v>
      </c>
      <c r="AV141" s="28">
        <v>40</v>
      </c>
      <c r="AW141" s="333">
        <v>38</v>
      </c>
      <c r="AX141" s="333">
        <v>39</v>
      </c>
      <c r="AY141" s="333">
        <v>40</v>
      </c>
      <c r="AZ141" s="333">
        <v>40</v>
      </c>
      <c r="BA141" s="28">
        <f t="shared" si="23"/>
        <v>40</v>
      </c>
      <c r="BB141" s="333">
        <v>40</v>
      </c>
      <c r="BC141" s="333">
        <v>41</v>
      </c>
      <c r="BD141" s="333">
        <v>41</v>
      </c>
      <c r="BE141" s="333">
        <v>39</v>
      </c>
      <c r="BF141" s="28">
        <f>BE141</f>
        <v>39</v>
      </c>
      <c r="BG141" s="333">
        <v>41</v>
      </c>
      <c r="BH141" s="333">
        <v>41</v>
      </c>
      <c r="BI141" s="333">
        <v>41</v>
      </c>
      <c r="BJ141" s="333">
        <v>41</v>
      </c>
      <c r="BK141" s="28">
        <f>BJ141</f>
        <v>41</v>
      </c>
      <c r="BL141" s="333">
        <v>41</v>
      </c>
      <c r="BM141" s="333">
        <v>42</v>
      </c>
      <c r="BN141" s="333"/>
      <c r="BO141" s="333"/>
      <c r="BP141" s="28">
        <f t="shared" si="24"/>
        <v>42</v>
      </c>
    </row>
    <row r="142" spans="2:68" s="17" customFormat="1" ht="12" hidden="1" customHeight="1">
      <c r="B142" s="220"/>
      <c r="C142" s="47" t="s">
        <v>366</v>
      </c>
      <c r="D142" s="19">
        <v>3</v>
      </c>
      <c r="E142" s="19">
        <v>3</v>
      </c>
      <c r="F142" s="19">
        <v>4</v>
      </c>
      <c r="G142" s="29">
        <v>4</v>
      </c>
      <c r="H142" s="28">
        <f t="shared" si="22"/>
        <v>4</v>
      </c>
      <c r="I142" s="19">
        <v>6</v>
      </c>
      <c r="J142" s="19">
        <v>6</v>
      </c>
      <c r="K142" s="19">
        <v>6</v>
      </c>
      <c r="L142" s="29">
        <v>6</v>
      </c>
      <c r="M142" s="28">
        <v>6</v>
      </c>
      <c r="N142" s="19">
        <v>6</v>
      </c>
      <c r="O142" s="19">
        <v>6</v>
      </c>
      <c r="P142" s="19">
        <v>6</v>
      </c>
      <c r="Q142" s="29">
        <v>6</v>
      </c>
      <c r="R142" s="28">
        <v>6</v>
      </c>
      <c r="S142" s="19" t="s">
        <v>278</v>
      </c>
      <c r="T142" s="19"/>
      <c r="U142" s="19"/>
      <c r="V142" s="19"/>
      <c r="W142" s="28"/>
      <c r="X142" s="19"/>
      <c r="Y142" s="19"/>
      <c r="Z142" s="19"/>
      <c r="AA142" s="19"/>
      <c r="AB142" s="28"/>
      <c r="AC142" s="333"/>
      <c r="AD142" s="333"/>
      <c r="AE142" s="333"/>
      <c r="AF142" s="333"/>
      <c r="AG142" s="28"/>
      <c r="AH142" s="333"/>
      <c r="AI142" s="333"/>
      <c r="AJ142" s="333"/>
      <c r="AK142" s="333"/>
      <c r="AL142" s="28"/>
      <c r="AM142" s="333"/>
      <c r="AN142" s="333"/>
      <c r="AO142" s="333"/>
      <c r="AP142" s="333"/>
      <c r="AQ142" s="28"/>
      <c r="AR142" s="333"/>
      <c r="AS142" s="333"/>
      <c r="AT142" s="333"/>
      <c r="AU142" s="333"/>
      <c r="AV142" s="28"/>
      <c r="AW142" s="333"/>
      <c r="AX142" s="333"/>
      <c r="AY142" s="333"/>
      <c r="AZ142" s="333"/>
      <c r="BA142" s="28"/>
      <c r="BB142" s="333"/>
      <c r="BC142" s="333"/>
      <c r="BD142" s="333"/>
      <c r="BE142" s="333"/>
      <c r="BF142" s="28"/>
      <c r="BG142" s="333"/>
      <c r="BH142" s="333"/>
      <c r="BI142" s="333"/>
      <c r="BJ142" s="333"/>
      <c r="BK142" s="28">
        <f t="shared" si="16"/>
        <v>0</v>
      </c>
      <c r="BL142" s="333"/>
      <c r="BM142" s="333"/>
      <c r="BN142" s="333"/>
      <c r="BO142" s="333"/>
      <c r="BP142" s="28"/>
    </row>
    <row r="143" spans="2:68" s="17" customFormat="1" ht="12" hidden="1" customHeight="1">
      <c r="B143" s="220"/>
      <c r="C143" s="47" t="s">
        <v>367</v>
      </c>
      <c r="D143" s="19">
        <v>1</v>
      </c>
      <c r="E143" s="19">
        <v>0</v>
      </c>
      <c r="F143" s="19">
        <v>0</v>
      </c>
      <c r="G143" s="29">
        <v>0</v>
      </c>
      <c r="H143" s="28">
        <v>0</v>
      </c>
      <c r="I143" s="19">
        <v>1</v>
      </c>
      <c r="J143" s="19">
        <v>1</v>
      </c>
      <c r="K143" s="19">
        <v>1</v>
      </c>
      <c r="L143" s="29">
        <v>1</v>
      </c>
      <c r="M143" s="28">
        <v>1</v>
      </c>
      <c r="N143" s="19">
        <v>1</v>
      </c>
      <c r="O143" s="19">
        <v>1</v>
      </c>
      <c r="P143" s="19">
        <v>1</v>
      </c>
      <c r="Q143" s="29">
        <v>1</v>
      </c>
      <c r="R143" s="28">
        <v>1</v>
      </c>
      <c r="S143" s="19" t="s">
        <v>278</v>
      </c>
      <c r="T143" s="19"/>
      <c r="U143" s="19"/>
      <c r="V143" s="19"/>
      <c r="W143" s="28"/>
      <c r="X143" s="19"/>
      <c r="Y143" s="19"/>
      <c r="Z143" s="19"/>
      <c r="AA143" s="19"/>
      <c r="AB143" s="28"/>
      <c r="AC143" s="333"/>
      <c r="AD143" s="333"/>
      <c r="AE143" s="333"/>
      <c r="AF143" s="333"/>
      <c r="AG143" s="28"/>
      <c r="AH143" s="333"/>
      <c r="AI143" s="333"/>
      <c r="AJ143" s="333"/>
      <c r="AK143" s="333"/>
      <c r="AL143" s="28"/>
      <c r="AM143" s="333"/>
      <c r="AN143" s="333"/>
      <c r="AO143" s="333"/>
      <c r="AP143" s="333"/>
      <c r="AQ143" s="28"/>
      <c r="AR143" s="333"/>
      <c r="AS143" s="333"/>
      <c r="AT143" s="333"/>
      <c r="AU143" s="333"/>
      <c r="AV143" s="28"/>
      <c r="AW143" s="333"/>
      <c r="AX143" s="333"/>
      <c r="AY143" s="333"/>
      <c r="AZ143" s="333"/>
      <c r="BA143" s="28"/>
      <c r="BB143" s="333"/>
      <c r="BC143" s="333"/>
      <c r="BD143" s="333"/>
      <c r="BE143" s="333"/>
      <c r="BF143" s="28"/>
      <c r="BG143" s="333"/>
      <c r="BH143" s="333"/>
      <c r="BI143" s="333"/>
      <c r="BJ143" s="333"/>
      <c r="BK143" s="28">
        <f t="shared" si="16"/>
        <v>0</v>
      </c>
      <c r="BL143" s="333"/>
      <c r="BM143" s="333"/>
      <c r="BN143" s="333"/>
      <c r="BO143" s="333"/>
      <c r="BP143" s="28"/>
    </row>
    <row r="144" spans="2:68" ht="12" hidden="1" customHeight="1">
      <c r="B144" s="218"/>
      <c r="C144" s="45"/>
      <c r="D144" s="46"/>
      <c r="E144" s="46"/>
      <c r="F144" s="46"/>
      <c r="G144" s="49"/>
      <c r="H144" s="48"/>
      <c r="I144" s="46"/>
      <c r="J144" s="46"/>
      <c r="K144" s="46"/>
      <c r="L144" s="49"/>
      <c r="M144" s="48"/>
      <c r="N144" s="46"/>
      <c r="O144" s="46"/>
      <c r="P144" s="46"/>
      <c r="Q144" s="49"/>
      <c r="R144" s="48"/>
      <c r="S144" s="46"/>
      <c r="T144" s="46"/>
      <c r="U144" s="46"/>
      <c r="V144" s="46"/>
      <c r="W144" s="48"/>
      <c r="X144" s="46"/>
      <c r="Y144" s="46"/>
      <c r="Z144" s="46"/>
      <c r="AA144" s="46"/>
      <c r="AB144" s="48"/>
      <c r="AC144" s="345"/>
      <c r="AD144" s="345"/>
      <c r="AE144" s="345"/>
      <c r="AF144" s="345"/>
      <c r="AG144" s="48"/>
      <c r="AH144" s="345"/>
      <c r="AI144" s="345"/>
      <c r="AJ144" s="345"/>
      <c r="AK144" s="345"/>
      <c r="AL144" s="48"/>
      <c r="AM144" s="345"/>
      <c r="AN144" s="345"/>
      <c r="AO144" s="345"/>
      <c r="AP144" s="345"/>
      <c r="AQ144" s="48"/>
      <c r="AR144" s="345"/>
      <c r="AS144" s="345"/>
      <c r="AT144" s="345"/>
      <c r="AU144" s="345"/>
      <c r="AV144" s="48"/>
      <c r="AW144" s="345"/>
      <c r="AX144" s="345"/>
      <c r="AY144" s="345"/>
      <c r="AZ144" s="345"/>
      <c r="BA144" s="48"/>
      <c r="BB144" s="345"/>
      <c r="BC144" s="345"/>
      <c r="BD144" s="345"/>
      <c r="BE144" s="345"/>
      <c r="BF144" s="48"/>
      <c r="BG144" s="345"/>
      <c r="BH144" s="345"/>
      <c r="BI144" s="345"/>
      <c r="BJ144" s="345"/>
      <c r="BK144" s="48">
        <f t="shared" si="16"/>
        <v>0</v>
      </c>
      <c r="BL144" s="345"/>
      <c r="BM144" s="345"/>
      <c r="BN144" s="345"/>
      <c r="BO144" s="345"/>
      <c r="BP144" s="48"/>
    </row>
    <row r="145" spans="2:68" ht="12" hidden="1" customHeight="1">
      <c r="B145" s="218">
        <v>6</v>
      </c>
      <c r="C145" s="22" t="s">
        <v>368</v>
      </c>
      <c r="D145" s="8"/>
      <c r="E145" s="8"/>
      <c r="G145" s="21"/>
      <c r="H145" s="20"/>
      <c r="I145" s="8"/>
      <c r="J145" s="8"/>
      <c r="L145" s="21"/>
      <c r="M145" s="20"/>
      <c r="N145" s="8"/>
      <c r="O145" s="8"/>
      <c r="Q145" s="21"/>
      <c r="R145" s="20"/>
      <c r="S145" s="8"/>
      <c r="T145" s="8"/>
      <c r="U145" s="8"/>
      <c r="V145" s="8"/>
      <c r="W145" s="20"/>
      <c r="X145" s="8"/>
      <c r="Y145" s="8"/>
      <c r="Z145" s="8"/>
      <c r="AA145" s="8"/>
      <c r="AB145" s="20"/>
      <c r="AC145" s="336"/>
      <c r="AD145" s="336"/>
      <c r="AE145" s="336"/>
      <c r="AF145" s="336"/>
      <c r="AG145" s="20"/>
      <c r="AH145" s="336"/>
      <c r="AI145" s="336"/>
      <c r="AJ145" s="336"/>
      <c r="AK145" s="336"/>
      <c r="AL145" s="20"/>
      <c r="AM145" s="336"/>
      <c r="AN145" s="336"/>
      <c r="AO145" s="336"/>
      <c r="AP145" s="336"/>
      <c r="AQ145" s="20"/>
      <c r="AR145" s="336"/>
      <c r="AS145" s="336"/>
      <c r="AT145" s="336"/>
      <c r="AU145" s="336"/>
      <c r="AV145" s="20"/>
      <c r="AW145" s="336"/>
      <c r="AX145" s="336"/>
      <c r="AY145" s="336"/>
      <c r="AZ145" s="336"/>
      <c r="BA145" s="20"/>
      <c r="BB145" s="336"/>
      <c r="BC145" s="336"/>
      <c r="BD145" s="336"/>
      <c r="BE145" s="336"/>
      <c r="BF145" s="20"/>
      <c r="BG145" s="336"/>
      <c r="BH145" s="336"/>
      <c r="BI145" s="336"/>
      <c r="BJ145" s="336"/>
      <c r="BK145" s="20">
        <f t="shared" si="16"/>
        <v>0</v>
      </c>
      <c r="BL145" s="336"/>
      <c r="BM145" s="336"/>
      <c r="BN145" s="336"/>
      <c r="BO145" s="336"/>
      <c r="BP145" s="20"/>
    </row>
    <row r="146" spans="2:68" ht="12" hidden="1" customHeight="1">
      <c r="B146" s="218" t="s">
        <v>295</v>
      </c>
      <c r="C146" s="2" t="s">
        <v>369</v>
      </c>
      <c r="D146" s="8"/>
      <c r="E146" s="8"/>
      <c r="G146" s="21"/>
      <c r="H146" s="20"/>
      <c r="I146" s="8"/>
      <c r="J146" s="8"/>
      <c r="L146" s="21"/>
      <c r="M146" s="20"/>
      <c r="N146" s="8"/>
      <c r="O146" s="8"/>
      <c r="Q146" s="21"/>
      <c r="R146" s="20"/>
      <c r="S146" s="8"/>
      <c r="T146" s="8"/>
      <c r="U146" s="8"/>
      <c r="V146" s="8"/>
      <c r="W146" s="20"/>
      <c r="X146" s="8"/>
      <c r="Y146" s="8"/>
      <c r="Z146" s="8"/>
      <c r="AA146" s="8"/>
      <c r="AB146" s="20"/>
      <c r="AC146" s="336"/>
      <c r="AD146" s="336"/>
      <c r="AE146" s="336"/>
      <c r="AF146" s="336"/>
      <c r="AG146" s="20"/>
      <c r="AH146" s="336"/>
      <c r="AI146" s="336"/>
      <c r="AJ146" s="336"/>
      <c r="AK146" s="336"/>
      <c r="AL146" s="20"/>
      <c r="AM146" s="336"/>
      <c r="AN146" s="336"/>
      <c r="AO146" s="336"/>
      <c r="AP146" s="336"/>
      <c r="AQ146" s="20"/>
      <c r="AR146" s="336"/>
      <c r="AS146" s="336"/>
      <c r="AT146" s="336"/>
      <c r="AU146" s="336"/>
      <c r="AV146" s="20"/>
      <c r="AW146" s="336"/>
      <c r="AX146" s="336"/>
      <c r="AY146" s="336"/>
      <c r="AZ146" s="336"/>
      <c r="BA146" s="20"/>
      <c r="BB146" s="336"/>
      <c r="BC146" s="336"/>
      <c r="BD146" s="336"/>
      <c r="BE146" s="336"/>
      <c r="BF146" s="20"/>
      <c r="BG146" s="336"/>
      <c r="BH146" s="336"/>
      <c r="BI146" s="336"/>
      <c r="BJ146" s="336"/>
      <c r="BK146" s="20">
        <f t="shared" si="16"/>
        <v>0</v>
      </c>
      <c r="BL146" s="336"/>
      <c r="BM146" s="336"/>
      <c r="BN146" s="336"/>
      <c r="BO146" s="336"/>
      <c r="BP146" s="20"/>
    </row>
    <row r="147" spans="2:68" ht="12" hidden="1" customHeight="1">
      <c r="B147" s="218"/>
      <c r="C147" s="35" t="s">
        <v>286</v>
      </c>
      <c r="D147" s="19">
        <v>80066</v>
      </c>
      <c r="E147" s="19">
        <v>80965</v>
      </c>
      <c r="F147" s="19">
        <v>83943.436796316179</v>
      </c>
      <c r="G147" s="29">
        <v>85746</v>
      </c>
      <c r="H147" s="28">
        <f t="shared" ref="H147:H152" si="25">SUM(D147:G147)</f>
        <v>330720.43679631618</v>
      </c>
      <c r="I147" s="19">
        <v>91424</v>
      </c>
      <c r="J147" s="19">
        <v>94593</v>
      </c>
      <c r="K147" s="19">
        <v>98799</v>
      </c>
      <c r="L147" s="29">
        <v>101419</v>
      </c>
      <c r="M147" s="28">
        <f t="shared" ref="M147:M152" si="26">SUM(I147:L147)</f>
        <v>386235</v>
      </c>
      <c r="N147" s="19">
        <v>104720.54480926531</v>
      </c>
      <c r="O147" s="19">
        <v>107967</v>
      </c>
      <c r="P147" s="19">
        <v>108562</v>
      </c>
      <c r="Q147" s="29">
        <v>110574</v>
      </c>
      <c r="R147" s="28">
        <f t="shared" ref="R147:R152" si="27">SUM(N147:Q147)</f>
        <v>431823.5448092653</v>
      </c>
      <c r="S147" s="19">
        <v>112748</v>
      </c>
      <c r="T147" s="19">
        <v>111930</v>
      </c>
      <c r="U147" s="19">
        <v>112349</v>
      </c>
      <c r="V147" s="19">
        <v>112519</v>
      </c>
      <c r="W147" s="28">
        <f t="shared" ref="W147:W152" si="28">SUM(S147:V147)</f>
        <v>449546</v>
      </c>
      <c r="X147" s="19"/>
      <c r="Y147" s="19"/>
      <c r="Z147" s="19"/>
      <c r="AA147" s="19"/>
      <c r="AB147" s="28"/>
      <c r="AC147" s="333"/>
      <c r="AD147" s="333"/>
      <c r="AE147" s="333"/>
      <c r="AF147" s="333"/>
      <c r="AG147" s="28"/>
      <c r="AH147" s="333"/>
      <c r="AI147" s="333"/>
      <c r="AJ147" s="333"/>
      <c r="AK147" s="333"/>
      <c r="AL147" s="28"/>
      <c r="AM147" s="333"/>
      <c r="AN147" s="333"/>
      <c r="AO147" s="333"/>
      <c r="AP147" s="333"/>
      <c r="AQ147" s="28"/>
      <c r="AR147" s="333"/>
      <c r="AS147" s="333"/>
      <c r="AT147" s="333"/>
      <c r="AU147" s="333"/>
      <c r="AV147" s="28"/>
      <c r="AW147" s="333"/>
      <c r="AX147" s="333"/>
      <c r="AY147" s="333"/>
      <c r="AZ147" s="333"/>
      <c r="BA147" s="28"/>
      <c r="BB147" s="333"/>
      <c r="BC147" s="333"/>
      <c r="BD147" s="333"/>
      <c r="BE147" s="333"/>
      <c r="BF147" s="28"/>
      <c r="BG147" s="333"/>
      <c r="BH147" s="333"/>
      <c r="BI147" s="333"/>
      <c r="BJ147" s="333"/>
      <c r="BK147" s="28">
        <f t="shared" si="16"/>
        <v>0</v>
      </c>
      <c r="BL147" s="333"/>
      <c r="BM147" s="333"/>
      <c r="BN147" s="333"/>
      <c r="BO147" s="333"/>
      <c r="BP147" s="28"/>
    </row>
    <row r="148" spans="2:68" ht="12" hidden="1" customHeight="1">
      <c r="B148" s="218"/>
      <c r="C148" s="50" t="s">
        <v>287</v>
      </c>
      <c r="D148" s="51">
        <v>193980</v>
      </c>
      <c r="E148" s="51">
        <v>201332.79935155163</v>
      </c>
      <c r="F148" s="51">
        <v>210272.94757672306</v>
      </c>
      <c r="G148" s="53">
        <v>211045</v>
      </c>
      <c r="H148" s="52">
        <f t="shared" si="25"/>
        <v>816630.74692827463</v>
      </c>
      <c r="I148" s="51">
        <v>221449</v>
      </c>
      <c r="J148" s="51">
        <v>229737</v>
      </c>
      <c r="K148" s="51">
        <v>235562</v>
      </c>
      <c r="L148" s="53">
        <v>241040</v>
      </c>
      <c r="M148" s="52">
        <f t="shared" si="26"/>
        <v>927788</v>
      </c>
      <c r="N148" s="51">
        <v>245331.51639816389</v>
      </c>
      <c r="O148" s="51">
        <v>256041</v>
      </c>
      <c r="P148" s="51">
        <v>256197</v>
      </c>
      <c r="Q148" s="53">
        <v>258408</v>
      </c>
      <c r="R148" s="52">
        <f t="shared" si="27"/>
        <v>1015977.5163981639</v>
      </c>
      <c r="S148" s="51">
        <v>262338</v>
      </c>
      <c r="T148" s="51">
        <v>269202</v>
      </c>
      <c r="U148" s="51">
        <v>275029</v>
      </c>
      <c r="V148" s="51">
        <v>279274</v>
      </c>
      <c r="W148" s="52">
        <f>SUM(S148:V148)</f>
        <v>1085843</v>
      </c>
      <c r="X148" s="51"/>
      <c r="Y148" s="51"/>
      <c r="Z148" s="51"/>
      <c r="AA148" s="51"/>
      <c r="AB148" s="52"/>
      <c r="AC148" s="346"/>
      <c r="AD148" s="346"/>
      <c r="AE148" s="346"/>
      <c r="AF148" s="346"/>
      <c r="AG148" s="52"/>
      <c r="AH148" s="346"/>
      <c r="AI148" s="346"/>
      <c r="AJ148" s="346"/>
      <c r="AK148" s="346"/>
      <c r="AL148" s="52"/>
      <c r="AM148" s="346"/>
      <c r="AN148" s="346"/>
      <c r="AO148" s="346"/>
      <c r="AP148" s="346"/>
      <c r="AQ148" s="52"/>
      <c r="AR148" s="346"/>
      <c r="AS148" s="346"/>
      <c r="AT148" s="346"/>
      <c r="AU148" s="346"/>
      <c r="AV148" s="52"/>
      <c r="AW148" s="346"/>
      <c r="AX148" s="346"/>
      <c r="AY148" s="346"/>
      <c r="AZ148" s="346"/>
      <c r="BA148" s="52"/>
      <c r="BB148" s="346"/>
      <c r="BC148" s="346"/>
      <c r="BD148" s="346"/>
      <c r="BE148" s="346"/>
      <c r="BF148" s="52"/>
      <c r="BG148" s="346"/>
      <c r="BH148" s="346"/>
      <c r="BI148" s="346"/>
      <c r="BJ148" s="346"/>
      <c r="BK148" s="52">
        <f t="shared" si="16"/>
        <v>0</v>
      </c>
      <c r="BL148" s="346"/>
      <c r="BM148" s="346"/>
      <c r="BN148" s="346"/>
      <c r="BO148" s="346"/>
      <c r="BP148" s="52"/>
    </row>
    <row r="149" spans="2:68" ht="12" hidden="1" customHeight="1">
      <c r="B149" s="218"/>
      <c r="C149" s="54" t="s">
        <v>370</v>
      </c>
      <c r="D149" s="55">
        <f>SUM(D147:D148)</f>
        <v>274046</v>
      </c>
      <c r="E149" s="55">
        <f>SUM(E147:E148)</f>
        <v>282297.79935155163</v>
      </c>
      <c r="F149" s="55">
        <f>SUM(F147:F148)</f>
        <v>294216.38437303924</v>
      </c>
      <c r="G149" s="55">
        <f>SUM(G147:G148)</f>
        <v>296791</v>
      </c>
      <c r="H149" s="56">
        <f t="shared" si="25"/>
        <v>1147351.1837245908</v>
      </c>
      <c r="I149" s="55">
        <f>SUM(I147:I148)</f>
        <v>312873</v>
      </c>
      <c r="J149" s="55">
        <f>SUM(J147:J148)</f>
        <v>324330</v>
      </c>
      <c r="K149" s="55">
        <f>SUM(K147:K148)</f>
        <v>334361</v>
      </c>
      <c r="L149" s="55">
        <f>SUM(L147:L148)</f>
        <v>342459</v>
      </c>
      <c r="M149" s="56">
        <f t="shared" si="26"/>
        <v>1314023</v>
      </c>
      <c r="N149" s="55">
        <f>SUM(N147:N148)+1</f>
        <v>350053.06120742921</v>
      </c>
      <c r="O149" s="55">
        <f>SUM(O147:O148)</f>
        <v>364008</v>
      </c>
      <c r="P149" s="55">
        <f>SUM(P147:P148)</f>
        <v>364759</v>
      </c>
      <c r="Q149" s="55">
        <f>SUM(Q147:Q148)</f>
        <v>368982</v>
      </c>
      <c r="R149" s="56">
        <f t="shared" si="27"/>
        <v>1447802.0612074293</v>
      </c>
      <c r="S149" s="55">
        <f>SUM(S147:S148)</f>
        <v>375086</v>
      </c>
      <c r="T149" s="55">
        <f>SUM(T147:T148)</f>
        <v>381132</v>
      </c>
      <c r="U149" s="55">
        <f>SUM(U147:U148)</f>
        <v>387378</v>
      </c>
      <c r="V149" s="55">
        <f>SUM(V147:V148)</f>
        <v>391793</v>
      </c>
      <c r="W149" s="56">
        <f>SUM(S149:V149)</f>
        <v>1535389</v>
      </c>
      <c r="X149" s="55"/>
      <c r="Y149" s="55"/>
      <c r="Z149" s="55"/>
      <c r="AA149" s="55"/>
      <c r="AB149" s="56"/>
      <c r="AC149" s="347"/>
      <c r="AD149" s="347"/>
      <c r="AE149" s="347"/>
      <c r="AF149" s="347"/>
      <c r="AG149" s="56"/>
      <c r="AH149" s="347"/>
      <c r="AI149" s="347"/>
      <c r="AJ149" s="347"/>
      <c r="AK149" s="347"/>
      <c r="AL149" s="56"/>
      <c r="AM149" s="347"/>
      <c r="AN149" s="347"/>
      <c r="AO149" s="347"/>
      <c r="AP149" s="347"/>
      <c r="AQ149" s="56"/>
      <c r="AR149" s="347"/>
      <c r="AS149" s="347"/>
      <c r="AT149" s="347"/>
      <c r="AU149" s="347"/>
      <c r="AV149" s="56"/>
      <c r="AW149" s="347"/>
      <c r="AX149" s="347"/>
      <c r="AY149" s="347"/>
      <c r="AZ149" s="347"/>
      <c r="BA149" s="56"/>
      <c r="BB149" s="347"/>
      <c r="BC149" s="347"/>
      <c r="BD149" s="347"/>
      <c r="BE149" s="347"/>
      <c r="BF149" s="56"/>
      <c r="BG149" s="347"/>
      <c r="BH149" s="347"/>
      <c r="BI149" s="347"/>
      <c r="BJ149" s="347"/>
      <c r="BK149" s="56">
        <f t="shared" si="16"/>
        <v>0</v>
      </c>
      <c r="BL149" s="347"/>
      <c r="BM149" s="347"/>
      <c r="BN149" s="347"/>
      <c r="BO149" s="347"/>
      <c r="BP149" s="56"/>
    </row>
    <row r="150" spans="2:68" ht="12" hidden="1" customHeight="1">
      <c r="B150" s="218"/>
      <c r="C150" s="58" t="s">
        <v>371</v>
      </c>
      <c r="D150" s="19">
        <v>68098</v>
      </c>
      <c r="E150" s="19">
        <v>60741.818025875415</v>
      </c>
      <c r="F150" s="19">
        <v>61564.495626960052</v>
      </c>
      <c r="G150" s="29">
        <v>81011</v>
      </c>
      <c r="H150" s="28">
        <f t="shared" si="25"/>
        <v>271415.31365283544</v>
      </c>
      <c r="I150" s="19">
        <v>77465</v>
      </c>
      <c r="J150" s="19">
        <v>74492</v>
      </c>
      <c r="K150" s="19">
        <v>80249</v>
      </c>
      <c r="L150" s="29">
        <v>84915</v>
      </c>
      <c r="M150" s="28">
        <f t="shared" si="26"/>
        <v>317121</v>
      </c>
      <c r="N150" s="19">
        <v>84864.308792567521</v>
      </c>
      <c r="O150" s="19">
        <v>77162</v>
      </c>
      <c r="P150" s="19">
        <v>80813</v>
      </c>
      <c r="Q150" s="29">
        <v>80799</v>
      </c>
      <c r="R150" s="28">
        <f t="shared" si="27"/>
        <v>323638.30879256752</v>
      </c>
      <c r="S150" s="19">
        <v>71463</v>
      </c>
      <c r="T150" s="19">
        <v>69033</v>
      </c>
      <c r="U150" s="19">
        <v>68636</v>
      </c>
      <c r="V150" s="19">
        <v>70960</v>
      </c>
      <c r="W150" s="28">
        <f>SUM(S150:V150)</f>
        <v>280092</v>
      </c>
      <c r="X150" s="19"/>
      <c r="Y150" s="19"/>
      <c r="Z150" s="19"/>
      <c r="AA150" s="19"/>
      <c r="AB150" s="28"/>
      <c r="AC150" s="333"/>
      <c r="AD150" s="333"/>
      <c r="AE150" s="333"/>
      <c r="AF150" s="333"/>
      <c r="AG150" s="28"/>
      <c r="AH150" s="333"/>
      <c r="AI150" s="333"/>
      <c r="AJ150" s="333"/>
      <c r="AK150" s="333"/>
      <c r="AL150" s="28"/>
      <c r="AM150" s="333"/>
      <c r="AN150" s="333"/>
      <c r="AO150" s="333"/>
      <c r="AP150" s="333"/>
      <c r="AQ150" s="28"/>
      <c r="AR150" s="333"/>
      <c r="AS150" s="333"/>
      <c r="AT150" s="333"/>
      <c r="AU150" s="333"/>
      <c r="AV150" s="28"/>
      <c r="AW150" s="333"/>
      <c r="AX150" s="333"/>
      <c r="AY150" s="333"/>
      <c r="AZ150" s="333"/>
      <c r="BA150" s="28"/>
      <c r="BB150" s="333"/>
      <c r="BC150" s="333"/>
      <c r="BD150" s="333"/>
      <c r="BE150" s="333"/>
      <c r="BF150" s="28"/>
      <c r="BG150" s="333"/>
      <c r="BH150" s="333"/>
      <c r="BI150" s="333"/>
      <c r="BJ150" s="333"/>
      <c r="BK150" s="28">
        <f t="shared" si="16"/>
        <v>0</v>
      </c>
      <c r="BL150" s="333"/>
      <c r="BM150" s="333"/>
      <c r="BN150" s="333"/>
      <c r="BO150" s="333"/>
      <c r="BP150" s="28"/>
    </row>
    <row r="151" spans="2:68" ht="12" hidden="1" customHeight="1">
      <c r="B151" s="218"/>
      <c r="C151" s="59" t="s">
        <v>372</v>
      </c>
      <c r="D151" s="51">
        <v>24413</v>
      </c>
      <c r="E151" s="51">
        <v>32151.913000000008</v>
      </c>
      <c r="F151" s="51">
        <v>32901.939999999937</v>
      </c>
      <c r="G151" s="53">
        <v>29658</v>
      </c>
      <c r="H151" s="52">
        <f t="shared" si="25"/>
        <v>119124.85299999994</v>
      </c>
      <c r="I151" s="51">
        <v>22794</v>
      </c>
      <c r="J151" s="51">
        <v>31280</v>
      </c>
      <c r="K151" s="51">
        <v>35797</v>
      </c>
      <c r="L151" s="51">
        <v>31329</v>
      </c>
      <c r="M151" s="52">
        <f t="shared" si="26"/>
        <v>121200</v>
      </c>
      <c r="N151" s="51">
        <v>22882</v>
      </c>
      <c r="O151" s="51">
        <v>27408</v>
      </c>
      <c r="P151" s="51">
        <v>22976</v>
      </c>
      <c r="Q151" s="51">
        <v>22044</v>
      </c>
      <c r="R151" s="52">
        <f t="shared" si="27"/>
        <v>95310</v>
      </c>
      <c r="S151" s="51">
        <v>20897</v>
      </c>
      <c r="T151" s="51">
        <v>15623</v>
      </c>
      <c r="U151" s="51">
        <v>15951</v>
      </c>
      <c r="V151" s="51">
        <v>22272</v>
      </c>
      <c r="W151" s="52">
        <f t="shared" si="28"/>
        <v>74743</v>
      </c>
      <c r="X151" s="51"/>
      <c r="Y151" s="51"/>
      <c r="Z151" s="51"/>
      <c r="AA151" s="51"/>
      <c r="AB151" s="52"/>
      <c r="AC151" s="346"/>
      <c r="AD151" s="346"/>
      <c r="AE151" s="346"/>
      <c r="AF151" s="346"/>
      <c r="AG151" s="52"/>
      <c r="AH151" s="346"/>
      <c r="AI151" s="346"/>
      <c r="AJ151" s="346"/>
      <c r="AK151" s="346"/>
      <c r="AL151" s="52"/>
      <c r="AM151" s="346"/>
      <c r="AN151" s="346"/>
      <c r="AO151" s="346"/>
      <c r="AP151" s="346"/>
      <c r="AQ151" s="52"/>
      <c r="AR151" s="346"/>
      <c r="AS151" s="346"/>
      <c r="AT151" s="346"/>
      <c r="AU151" s="346"/>
      <c r="AV151" s="52"/>
      <c r="AW151" s="346"/>
      <c r="AX151" s="346"/>
      <c r="AY151" s="346"/>
      <c r="AZ151" s="346"/>
      <c r="BA151" s="52"/>
      <c r="BB151" s="346"/>
      <c r="BC151" s="346"/>
      <c r="BD151" s="346"/>
      <c r="BE151" s="346"/>
      <c r="BF151" s="52"/>
      <c r="BG151" s="346"/>
      <c r="BH151" s="346"/>
      <c r="BI151" s="346"/>
      <c r="BJ151" s="346"/>
      <c r="BK151" s="52">
        <f t="shared" si="16"/>
        <v>0</v>
      </c>
      <c r="BL151" s="346"/>
      <c r="BM151" s="346"/>
      <c r="BN151" s="346"/>
      <c r="BO151" s="346"/>
      <c r="BP151" s="52"/>
    </row>
    <row r="152" spans="2:68" ht="12" hidden="1" customHeight="1">
      <c r="B152" s="218"/>
      <c r="C152" s="60" t="s">
        <v>373</v>
      </c>
      <c r="D152" s="55">
        <f>SUM(D149:D151)</f>
        <v>366557</v>
      </c>
      <c r="E152" s="55">
        <f>SUM(E149:E151)</f>
        <v>375191.53037742706</v>
      </c>
      <c r="F152" s="55">
        <f>SUM(F149:F151)</f>
        <v>388682.81999999925</v>
      </c>
      <c r="G152" s="55">
        <f>SUM(G149:G151)</f>
        <v>407460</v>
      </c>
      <c r="H152" s="56">
        <f t="shared" si="25"/>
        <v>1537891.3503774265</v>
      </c>
      <c r="I152" s="55">
        <f>SUM(I149:I151)</f>
        <v>413132</v>
      </c>
      <c r="J152" s="55">
        <f>SUM(J149:J151)</f>
        <v>430102</v>
      </c>
      <c r="K152" s="55">
        <f>SUM(K149:K151)</f>
        <v>450407</v>
      </c>
      <c r="L152" s="55">
        <f>SUM(L149:L151)</f>
        <v>458703</v>
      </c>
      <c r="M152" s="56">
        <f t="shared" si="26"/>
        <v>1752344</v>
      </c>
      <c r="N152" s="55">
        <f>SUM(N149:N151)</f>
        <v>457799.36999999674</v>
      </c>
      <c r="O152" s="55">
        <f>SUM(O149:O151)</f>
        <v>468578</v>
      </c>
      <c r="P152" s="55">
        <f>SUM(P149:P151)</f>
        <v>468548</v>
      </c>
      <c r="Q152" s="55">
        <f>SUM(Q149:Q151)</f>
        <v>471825</v>
      </c>
      <c r="R152" s="56">
        <f t="shared" si="27"/>
        <v>1866750.3699999969</v>
      </c>
      <c r="S152" s="55">
        <f>SUM(S149:S151)</f>
        <v>467446</v>
      </c>
      <c r="T152" s="55">
        <f>SUM(T149:T151)</f>
        <v>465788</v>
      </c>
      <c r="U152" s="55">
        <f>SUM(U149:U151)</f>
        <v>471965</v>
      </c>
      <c r="V152" s="55">
        <f>SUM(V149:V151)</f>
        <v>485025</v>
      </c>
      <c r="W152" s="56">
        <f t="shared" si="28"/>
        <v>1890224</v>
      </c>
      <c r="X152" s="55"/>
      <c r="Y152" s="55"/>
      <c r="Z152" s="55"/>
      <c r="AA152" s="55"/>
      <c r="AB152" s="56"/>
      <c r="AC152" s="347"/>
      <c r="AD152" s="347"/>
      <c r="AE152" s="347"/>
      <c r="AF152" s="347"/>
      <c r="AG152" s="56"/>
      <c r="AH152" s="347"/>
      <c r="AI152" s="347"/>
      <c r="AJ152" s="347"/>
      <c r="AK152" s="347"/>
      <c r="AL152" s="56"/>
      <c r="AM152" s="347"/>
      <c r="AN152" s="347"/>
      <c r="AO152" s="347"/>
      <c r="AP152" s="347"/>
      <c r="AQ152" s="56"/>
      <c r="AR152" s="347"/>
      <c r="AS152" s="347"/>
      <c r="AT152" s="347"/>
      <c r="AU152" s="347"/>
      <c r="AV152" s="56"/>
      <c r="AW152" s="347"/>
      <c r="AX152" s="347"/>
      <c r="AY152" s="347"/>
      <c r="AZ152" s="347"/>
      <c r="BA152" s="56"/>
      <c r="BB152" s="347"/>
      <c r="BC152" s="347"/>
      <c r="BD152" s="347"/>
      <c r="BE152" s="347"/>
      <c r="BF152" s="56"/>
      <c r="BG152" s="347"/>
      <c r="BH152" s="347"/>
      <c r="BI152" s="347"/>
      <c r="BJ152" s="347"/>
      <c r="BK152" s="56">
        <f t="shared" si="16"/>
        <v>0</v>
      </c>
      <c r="BL152" s="347"/>
      <c r="BM152" s="347"/>
      <c r="BN152" s="347"/>
      <c r="BO152" s="347"/>
      <c r="BP152" s="56"/>
    </row>
    <row r="153" spans="2:68" ht="12" hidden="1" customHeight="1">
      <c r="B153" s="218"/>
      <c r="C153" s="59" t="s">
        <v>374</v>
      </c>
      <c r="D153" s="51">
        <v>22344</v>
      </c>
      <c r="E153" s="51">
        <v>22769.559000000001</v>
      </c>
      <c r="F153" s="51">
        <v>23114.9</v>
      </c>
      <c r="G153" s="53">
        <v>23644</v>
      </c>
      <c r="H153" s="52">
        <f>SUM(D153:G153)</f>
        <v>91872.459000000003</v>
      </c>
      <c r="I153" s="51">
        <v>24874</v>
      </c>
      <c r="J153" s="51">
        <v>26015</v>
      </c>
      <c r="K153" s="51">
        <v>26778</v>
      </c>
      <c r="L153" s="53">
        <v>27765</v>
      </c>
      <c r="M153" s="52">
        <f>SUM(I153:L153)</f>
        <v>105432</v>
      </c>
      <c r="N153" s="51">
        <v>28965</v>
      </c>
      <c r="O153" s="51">
        <v>29475</v>
      </c>
      <c r="P153" s="51">
        <v>28530</v>
      </c>
      <c r="Q153" s="53">
        <v>27737</v>
      </c>
      <c r="R153" s="52">
        <f>SUM(N153:Q153)</f>
        <v>114707</v>
      </c>
      <c r="S153" s="51">
        <v>27152</v>
      </c>
      <c r="T153" s="51">
        <v>27031</v>
      </c>
      <c r="U153" s="51">
        <v>26189</v>
      </c>
      <c r="V153" s="51">
        <v>25711</v>
      </c>
      <c r="W153" s="52">
        <f>SUM(S153:V153)</f>
        <v>106083</v>
      </c>
      <c r="X153" s="51"/>
      <c r="Y153" s="51"/>
      <c r="Z153" s="51"/>
      <c r="AA153" s="51"/>
      <c r="AB153" s="52"/>
      <c r="AC153" s="346"/>
      <c r="AD153" s="346"/>
      <c r="AE153" s="346"/>
      <c r="AF153" s="346"/>
      <c r="AG153" s="52"/>
      <c r="AH153" s="346"/>
      <c r="AI153" s="346"/>
      <c r="AJ153" s="346"/>
      <c r="AK153" s="346"/>
      <c r="AL153" s="52"/>
      <c r="AM153" s="346"/>
      <c r="AN153" s="346"/>
      <c r="AO153" s="346"/>
      <c r="AP153" s="346"/>
      <c r="AQ153" s="52"/>
      <c r="AR153" s="346"/>
      <c r="AS153" s="346"/>
      <c r="AT153" s="346"/>
      <c r="AU153" s="346"/>
      <c r="AV153" s="52"/>
      <c r="AW153" s="346"/>
      <c r="AX153" s="346"/>
      <c r="AY153" s="346"/>
      <c r="AZ153" s="346"/>
      <c r="BA153" s="52"/>
      <c r="BB153" s="346"/>
      <c r="BC153" s="346"/>
      <c r="BD153" s="346"/>
      <c r="BE153" s="346"/>
      <c r="BF153" s="52"/>
      <c r="BG153" s="346"/>
      <c r="BH153" s="346"/>
      <c r="BI153" s="346"/>
      <c r="BJ153" s="346"/>
      <c r="BK153" s="52">
        <f t="shared" si="16"/>
        <v>0</v>
      </c>
      <c r="BL153" s="346"/>
      <c r="BM153" s="346"/>
      <c r="BN153" s="346"/>
      <c r="BO153" s="346"/>
      <c r="BP153" s="52"/>
    </row>
    <row r="154" spans="2:68" ht="12" hidden="1" customHeight="1">
      <c r="B154" s="218"/>
      <c r="C154" s="61" t="s">
        <v>301</v>
      </c>
      <c r="D154" s="23">
        <f>SUM(D152:D153)</f>
        <v>388901</v>
      </c>
      <c r="E154" s="23">
        <f>SUM(E152:E153)</f>
        <v>397961.08937742707</v>
      </c>
      <c r="F154" s="23">
        <f>SUM(F152:F153)</f>
        <v>411797.71999999927</v>
      </c>
      <c r="G154" s="23">
        <f>SUM(G152:G153)</f>
        <v>431104</v>
      </c>
      <c r="H154" s="24">
        <f>SUM(D154:G154)-1</f>
        <v>1629762.8093774263</v>
      </c>
      <c r="I154" s="23">
        <f>SUM(I152:I153)</f>
        <v>438006</v>
      </c>
      <c r="J154" s="23">
        <f>SUM(J152:J153)</f>
        <v>456117</v>
      </c>
      <c r="K154" s="23">
        <f>SUM(K152:K153)</f>
        <v>477185</v>
      </c>
      <c r="L154" s="23">
        <f>SUM(L152:L153)</f>
        <v>486468</v>
      </c>
      <c r="M154" s="24">
        <f>SUM(I154:L154)</f>
        <v>1857776</v>
      </c>
      <c r="N154" s="23">
        <f>SUM(N152:N153)</f>
        <v>486764.36999999674</v>
      </c>
      <c r="O154" s="23">
        <f>SUM(O152:O153)</f>
        <v>498053</v>
      </c>
      <c r="P154" s="23">
        <f>SUM(P152:P153)</f>
        <v>497078</v>
      </c>
      <c r="Q154" s="23">
        <f>SUM(Q152:Q153)</f>
        <v>499562</v>
      </c>
      <c r="R154" s="24">
        <f>SUM(N154:Q154)</f>
        <v>1981457.3699999969</v>
      </c>
      <c r="S154" s="23">
        <f>SUM(S152:S153)</f>
        <v>494598</v>
      </c>
      <c r="T154" s="23">
        <f>SUM(T152:T153)</f>
        <v>492819</v>
      </c>
      <c r="U154" s="23">
        <f>SUM(U152:U153)</f>
        <v>498154</v>
      </c>
      <c r="V154" s="23">
        <f>SUM(V152:V153)</f>
        <v>510736</v>
      </c>
      <c r="W154" s="24">
        <f>SUM(S154:V154)</f>
        <v>1996307</v>
      </c>
      <c r="X154" s="19" t="s">
        <v>266</v>
      </c>
      <c r="Y154" s="23"/>
      <c r="Z154" s="23"/>
      <c r="AA154" s="23"/>
      <c r="AB154" s="24"/>
      <c r="AC154" s="332"/>
      <c r="AD154" s="332"/>
      <c r="AE154" s="332"/>
      <c r="AF154" s="332"/>
      <c r="AG154" s="24"/>
      <c r="AH154" s="332"/>
      <c r="AI154" s="332"/>
      <c r="AJ154" s="332"/>
      <c r="AK154" s="332"/>
      <c r="AL154" s="24"/>
      <c r="AM154" s="332"/>
      <c r="AN154" s="332"/>
      <c r="AO154" s="332"/>
      <c r="AP154" s="332"/>
      <c r="AQ154" s="24"/>
      <c r="AR154" s="332"/>
      <c r="AS154" s="332"/>
      <c r="AT154" s="332"/>
      <c r="AU154" s="332"/>
      <c r="AV154" s="24"/>
      <c r="AW154" s="332"/>
      <c r="AX154" s="332"/>
      <c r="AY154" s="332"/>
      <c r="AZ154" s="332"/>
      <c r="BA154" s="24"/>
      <c r="BB154" s="332"/>
      <c r="BC154" s="332"/>
      <c r="BD154" s="332"/>
      <c r="BE154" s="332"/>
      <c r="BF154" s="24"/>
      <c r="BG154" s="332"/>
      <c r="BH154" s="332"/>
      <c r="BI154" s="332"/>
      <c r="BJ154" s="332"/>
      <c r="BK154" s="24">
        <f t="shared" si="16"/>
        <v>0</v>
      </c>
      <c r="BL154" s="332"/>
      <c r="BM154" s="332"/>
      <c r="BN154" s="332"/>
      <c r="BO154" s="332"/>
      <c r="BP154" s="24"/>
    </row>
    <row r="155" spans="2:68" ht="12" hidden="1" customHeight="1">
      <c r="B155" s="218"/>
      <c r="C155" s="3"/>
      <c r="G155" s="21"/>
      <c r="H155" s="20"/>
      <c r="L155" s="21"/>
      <c r="M155" s="20"/>
      <c r="Q155" s="21"/>
      <c r="R155" s="20"/>
      <c r="W155" s="20"/>
      <c r="AB155" s="20"/>
      <c r="AC155" s="335"/>
      <c r="AD155" s="335"/>
      <c r="AE155" s="335"/>
      <c r="AF155" s="335"/>
      <c r="AG155" s="20"/>
      <c r="AH155" s="335"/>
      <c r="AI155" s="335"/>
      <c r="AJ155" s="335"/>
      <c r="AK155" s="335"/>
      <c r="AL155" s="20"/>
      <c r="AM155" s="335"/>
      <c r="AN155" s="335"/>
      <c r="AO155" s="335"/>
      <c r="AP155" s="335"/>
      <c r="AQ155" s="20"/>
      <c r="AR155" s="335"/>
      <c r="AS155" s="335"/>
      <c r="AT155" s="335"/>
      <c r="AU155" s="335"/>
      <c r="AV155" s="20"/>
      <c r="AW155" s="335"/>
      <c r="AX155" s="335"/>
      <c r="AY155" s="335"/>
      <c r="AZ155" s="335"/>
      <c r="BA155" s="20"/>
      <c r="BB155" s="335"/>
      <c r="BC155" s="335"/>
      <c r="BD155" s="335"/>
      <c r="BE155" s="335"/>
      <c r="BF155" s="20"/>
      <c r="BG155" s="335"/>
      <c r="BH155" s="335"/>
      <c r="BI155" s="335"/>
      <c r="BJ155" s="335"/>
      <c r="BK155" s="20">
        <f t="shared" si="16"/>
        <v>0</v>
      </c>
      <c r="BL155" s="335"/>
      <c r="BM155" s="335"/>
      <c r="BN155" s="335"/>
      <c r="BO155" s="335"/>
      <c r="BP155" s="20"/>
    </row>
    <row r="156" spans="2:68" ht="12" hidden="1" customHeight="1">
      <c r="B156" s="218" t="s">
        <v>295</v>
      </c>
      <c r="C156" s="2" t="s">
        <v>375</v>
      </c>
      <c r="D156" s="62"/>
      <c r="E156" s="62"/>
      <c r="F156" s="62"/>
      <c r="G156" s="64"/>
      <c r="H156" s="63"/>
      <c r="I156" s="62"/>
      <c r="J156" s="62"/>
      <c r="K156" s="62"/>
      <c r="L156" s="64"/>
      <c r="M156" s="63"/>
      <c r="N156" s="62"/>
      <c r="O156" s="62"/>
      <c r="P156" s="62"/>
      <c r="Q156" s="64"/>
      <c r="R156" s="63"/>
      <c r="S156" s="62"/>
      <c r="T156" s="62"/>
      <c r="U156" s="62"/>
      <c r="V156" s="62"/>
      <c r="W156" s="63"/>
      <c r="X156" s="62"/>
      <c r="Y156" s="62"/>
      <c r="Z156" s="62"/>
      <c r="AA156" s="62"/>
      <c r="AB156" s="63"/>
      <c r="AC156" s="348"/>
      <c r="AD156" s="348"/>
      <c r="AE156" s="348"/>
      <c r="AF156" s="348"/>
      <c r="AG156" s="63"/>
      <c r="AH156" s="348"/>
      <c r="AI156" s="348"/>
      <c r="AJ156" s="348"/>
      <c r="AK156" s="348"/>
      <c r="AL156" s="63"/>
      <c r="AM156" s="348"/>
      <c r="AN156" s="348"/>
      <c r="AO156" s="348"/>
      <c r="AP156" s="348"/>
      <c r="AQ156" s="63"/>
      <c r="AR156" s="348"/>
      <c r="AS156" s="348"/>
      <c r="AT156" s="348"/>
      <c r="AU156" s="348"/>
      <c r="AV156" s="63"/>
      <c r="AW156" s="348"/>
      <c r="AX156" s="348"/>
      <c r="AY156" s="348"/>
      <c r="AZ156" s="348"/>
      <c r="BA156" s="63"/>
      <c r="BB156" s="348"/>
      <c r="BC156" s="348"/>
      <c r="BD156" s="348"/>
      <c r="BE156" s="348"/>
      <c r="BF156" s="63"/>
      <c r="BG156" s="348"/>
      <c r="BH156" s="348"/>
      <c r="BI156" s="348"/>
      <c r="BJ156" s="348"/>
      <c r="BK156" s="63">
        <f t="shared" si="16"/>
        <v>0</v>
      </c>
      <c r="BL156" s="348"/>
      <c r="BM156" s="348"/>
      <c r="BN156" s="348"/>
      <c r="BO156" s="348"/>
      <c r="BP156" s="63"/>
    </row>
    <row r="157" spans="2:68" ht="12" hidden="1" customHeight="1">
      <c r="B157" s="218"/>
      <c r="C157" s="37" t="s">
        <v>286</v>
      </c>
      <c r="D157" s="8">
        <v>-7.3020680183133457E-4</v>
      </c>
      <c r="E157" s="8">
        <v>2.5999999999999999E-2</v>
      </c>
      <c r="F157" s="8">
        <v>-2.5000000000000001E-2</v>
      </c>
      <c r="G157" s="10">
        <v>-4.3999999999999997E-2</v>
      </c>
      <c r="H157" s="9">
        <v>1.0999999999999999E-2</v>
      </c>
      <c r="I157" s="8">
        <v>-3.0000000000000001E-3</v>
      </c>
      <c r="J157" s="8">
        <v>2.9000000000000001E-2</v>
      </c>
      <c r="K157" s="8">
        <v>-0.03</v>
      </c>
      <c r="L157" s="10">
        <v>-1.4E-2</v>
      </c>
      <c r="M157" s="9">
        <v>-0.04</v>
      </c>
      <c r="N157" s="8">
        <v>-4.0000000000000001E-3</v>
      </c>
      <c r="O157" s="8">
        <v>1.2E-2</v>
      </c>
      <c r="P157" s="8">
        <v>-3.5000000000000003E-2</v>
      </c>
      <c r="Q157" s="10">
        <v>-5.0000000000000001E-3</v>
      </c>
      <c r="R157" s="9">
        <v>-3.3000000000000002E-2</v>
      </c>
      <c r="S157" s="8">
        <v>1.2E-2</v>
      </c>
      <c r="T157" s="8">
        <v>1.9E-2</v>
      </c>
      <c r="U157" s="8">
        <v>-8.9999999999999993E-3</v>
      </c>
      <c r="V157" s="8">
        <v>1.6E-2</v>
      </c>
      <c r="W157" s="9">
        <v>7.0000000000000001E-3</v>
      </c>
      <c r="X157" s="8">
        <v>-2E-3</v>
      </c>
      <c r="Y157" s="8">
        <v>-2E-3</v>
      </c>
      <c r="Z157" s="8">
        <v>-4.0000000000000001E-3</v>
      </c>
      <c r="AA157" s="8">
        <v>4.0000000000000001E-3</v>
      </c>
      <c r="AB157" s="9">
        <v>8.0000000000000002E-3</v>
      </c>
      <c r="AC157" s="336"/>
      <c r="AD157" s="336"/>
      <c r="AE157" s="336"/>
      <c r="AF157" s="336"/>
      <c r="AG157" s="9"/>
      <c r="AH157" s="336"/>
      <c r="AI157" s="336"/>
      <c r="AJ157" s="336"/>
      <c r="AK157" s="336"/>
      <c r="AL157" s="9"/>
      <c r="AM157" s="336"/>
      <c r="AN157" s="336"/>
      <c r="AO157" s="336"/>
      <c r="AP157" s="336"/>
      <c r="AQ157" s="9"/>
      <c r="AR157" s="336"/>
      <c r="AS157" s="336"/>
      <c r="AT157" s="336"/>
      <c r="AU157" s="336"/>
      <c r="AV157" s="9"/>
      <c r="AW157" s="336"/>
      <c r="AX157" s="336"/>
      <c r="AY157" s="336"/>
      <c r="AZ157" s="336"/>
      <c r="BA157" s="9"/>
      <c r="BB157" s="336"/>
      <c r="BC157" s="336"/>
      <c r="BD157" s="336"/>
      <c r="BE157" s="336"/>
      <c r="BF157" s="9"/>
      <c r="BG157" s="336"/>
      <c r="BH157" s="336"/>
      <c r="BI157" s="336"/>
      <c r="BJ157" s="336"/>
      <c r="BK157" s="9">
        <f t="shared" si="16"/>
        <v>0</v>
      </c>
      <c r="BL157" s="336"/>
      <c r="BM157" s="336"/>
      <c r="BN157" s="336"/>
      <c r="BO157" s="336"/>
      <c r="BP157" s="9"/>
    </row>
    <row r="158" spans="2:68" ht="12" hidden="1" customHeight="1">
      <c r="B158" s="218"/>
      <c r="C158" s="37" t="s">
        <v>287</v>
      </c>
      <c r="D158" s="8">
        <v>-2.10006277026209E-3</v>
      </c>
      <c r="E158" s="8">
        <v>-3.0000000000000001E-3</v>
      </c>
      <c r="F158" s="8">
        <v>-4.1000000000000002E-2</v>
      </c>
      <c r="G158" s="10">
        <v>-4.1000000000000002E-2</v>
      </c>
      <c r="H158" s="9">
        <v>-2.7E-2</v>
      </c>
      <c r="I158" s="8">
        <v>-2.1999999999999999E-2</v>
      </c>
      <c r="J158" s="8">
        <v>2.4E-2</v>
      </c>
      <c r="K158" s="8">
        <v>-2.8000000000000001E-2</v>
      </c>
      <c r="L158" s="10">
        <v>-0.01</v>
      </c>
      <c r="M158" s="9">
        <v>-7.1999999999999995E-2</v>
      </c>
      <c r="N158" s="8">
        <v>-8.9999999999999993E-3</v>
      </c>
      <c r="O158" s="8">
        <v>-3.0000000000000001E-3</v>
      </c>
      <c r="P158" s="8">
        <v>-8.0000000000000002E-3</v>
      </c>
      <c r="Q158" s="10">
        <v>-4.0000000000000001E-3</v>
      </c>
      <c r="R158" s="9">
        <v>-3.2000000000000001E-2</v>
      </c>
      <c r="S158" s="8">
        <v>2.3E-2</v>
      </c>
      <c r="T158" s="8">
        <v>2.5999999999999999E-2</v>
      </c>
      <c r="U158" s="8">
        <v>6.0000000000000001E-3</v>
      </c>
      <c r="V158" s="8">
        <v>0.01</v>
      </c>
      <c r="W158" s="9">
        <v>4.1000000000000002E-2</v>
      </c>
      <c r="X158" s="8">
        <v>-2.4E-2</v>
      </c>
      <c r="Y158" s="8">
        <v>8.0000000000000002E-3</v>
      </c>
      <c r="Z158" s="8">
        <v>-1.4E-2</v>
      </c>
      <c r="AA158" s="8">
        <v>1E-3</v>
      </c>
      <c r="AB158" s="9">
        <v>-8.0000000000000002E-3</v>
      </c>
      <c r="AC158" s="336"/>
      <c r="AD158" s="336"/>
      <c r="AE158" s="336"/>
      <c r="AF158" s="336"/>
      <c r="AG158" s="9"/>
      <c r="AH158" s="336"/>
      <c r="AI158" s="336"/>
      <c r="AJ158" s="336"/>
      <c r="AK158" s="336"/>
      <c r="AL158" s="9"/>
      <c r="AM158" s="336"/>
      <c r="AN158" s="336"/>
      <c r="AO158" s="336"/>
      <c r="AP158" s="336"/>
      <c r="AQ158" s="9"/>
      <c r="AR158" s="336"/>
      <c r="AS158" s="336"/>
      <c r="AT158" s="336"/>
      <c r="AU158" s="336"/>
      <c r="AV158" s="9"/>
      <c r="AW158" s="336"/>
      <c r="AX158" s="336"/>
      <c r="AY158" s="336"/>
      <c r="AZ158" s="336"/>
      <c r="BA158" s="9"/>
      <c r="BB158" s="336"/>
      <c r="BC158" s="336"/>
      <c r="BD158" s="336"/>
      <c r="BE158" s="336"/>
      <c r="BF158" s="9"/>
      <c r="BG158" s="336"/>
      <c r="BH158" s="336"/>
      <c r="BI158" s="336"/>
      <c r="BJ158" s="336"/>
      <c r="BK158" s="9">
        <f t="shared" si="16"/>
        <v>0</v>
      </c>
      <c r="BL158" s="336"/>
      <c r="BM158" s="336"/>
      <c r="BN158" s="336"/>
      <c r="BO158" s="336"/>
      <c r="BP158" s="9"/>
    </row>
    <row r="159" spans="2:68" ht="12" hidden="1" customHeight="1">
      <c r="B159" s="218"/>
      <c r="C159" s="3" t="s">
        <v>376</v>
      </c>
      <c r="D159" s="8">
        <v>-3.8795155314058638E-3</v>
      </c>
      <c r="E159" s="8">
        <v>6.0000000000000001E-3</v>
      </c>
      <c r="F159" s="8">
        <v>-3.4000000000000002E-2</v>
      </c>
      <c r="G159" s="10">
        <v>-3.7999999999999999E-2</v>
      </c>
      <c r="H159" s="9">
        <v>-2.8000000000000001E-2</v>
      </c>
      <c r="I159" s="8">
        <v>-7.0000000000000001E-3</v>
      </c>
      <c r="J159" s="8">
        <v>2.5999999999999999E-2</v>
      </c>
      <c r="K159" s="8">
        <v>-2.5000000000000001E-2</v>
      </c>
      <c r="L159" s="10">
        <v>-1.0999999999999999E-2</v>
      </c>
      <c r="M159" s="9">
        <v>-4.7E-2</v>
      </c>
      <c r="N159" s="8">
        <v>-3.0000000000000001E-3</v>
      </c>
      <c r="O159" s="26">
        <v>2E-3</v>
      </c>
      <c r="P159" s="8">
        <v>-2.1999999999999999E-2</v>
      </c>
      <c r="Q159" s="10">
        <v>-2E-3</v>
      </c>
      <c r="R159" s="9">
        <v>-2.7E-2</v>
      </c>
      <c r="S159" s="26">
        <v>1.7999999999999999E-2</v>
      </c>
      <c r="T159" s="26">
        <v>1.2999999999999999E-2</v>
      </c>
      <c r="U159" s="26">
        <v>-6.0000000000000001E-3</v>
      </c>
      <c r="V159" s="26">
        <v>0.01</v>
      </c>
      <c r="W159" s="9">
        <v>1.4999999999999999E-2</v>
      </c>
      <c r="X159" s="26">
        <v>-1.2999999999999999E-2</v>
      </c>
      <c r="Y159" s="26">
        <v>-1E-3</v>
      </c>
      <c r="Z159" s="26">
        <v>-5.0000000000000001E-3</v>
      </c>
      <c r="AA159" s="26">
        <v>3.0000000000000001E-3</v>
      </c>
      <c r="AB159" s="9">
        <v>-8.0000000000000002E-3</v>
      </c>
      <c r="AC159" s="349"/>
      <c r="AD159" s="349"/>
      <c r="AE159" s="349"/>
      <c r="AF159" s="349"/>
      <c r="AG159" s="9"/>
      <c r="AH159" s="349"/>
      <c r="AI159" s="349"/>
      <c r="AJ159" s="349"/>
      <c r="AK159" s="349"/>
      <c r="AL159" s="9"/>
      <c r="AM159" s="349"/>
      <c r="AN159" s="349"/>
      <c r="AO159" s="349"/>
      <c r="AP159" s="349"/>
      <c r="AQ159" s="9"/>
      <c r="AR159" s="349"/>
      <c r="AS159" s="349"/>
      <c r="AT159" s="349"/>
      <c r="AU159" s="349"/>
      <c r="AV159" s="9"/>
      <c r="AW159" s="349"/>
      <c r="AX159" s="349"/>
      <c r="AY159" s="349"/>
      <c r="AZ159" s="349"/>
      <c r="BA159" s="9"/>
      <c r="BB159" s="349"/>
      <c r="BC159" s="336"/>
      <c r="BD159" s="336"/>
      <c r="BE159" s="349"/>
      <c r="BF159" s="9"/>
      <c r="BG159" s="349"/>
      <c r="BH159" s="336"/>
      <c r="BI159" s="336"/>
      <c r="BJ159" s="349"/>
      <c r="BK159" s="9">
        <f t="shared" si="16"/>
        <v>0</v>
      </c>
      <c r="BL159" s="349"/>
      <c r="BM159" s="336"/>
      <c r="BN159" s="336"/>
      <c r="BO159" s="349"/>
      <c r="BP159" s="9"/>
    </row>
    <row r="160" spans="2:68" ht="12" hidden="1" customHeight="1">
      <c r="B160" s="218"/>
      <c r="C160" s="3"/>
      <c r="D160" s="62"/>
      <c r="E160" s="62"/>
      <c r="F160" s="62"/>
      <c r="G160" s="64"/>
      <c r="H160" s="63"/>
      <c r="I160" s="62"/>
      <c r="J160" s="62"/>
      <c r="K160" s="62"/>
      <c r="L160" s="64"/>
      <c r="M160" s="63"/>
      <c r="N160" s="62"/>
      <c r="O160" s="62"/>
      <c r="P160" s="62"/>
      <c r="Q160" s="64"/>
      <c r="R160" s="63"/>
      <c r="S160" s="62"/>
      <c r="T160" s="62"/>
      <c r="U160" s="62"/>
      <c r="V160" s="62"/>
      <c r="W160" s="63"/>
      <c r="X160" s="62"/>
      <c r="Y160" s="62"/>
      <c r="Z160" s="62"/>
      <c r="AA160" s="62"/>
      <c r="AB160" s="63"/>
      <c r="AC160" s="348"/>
      <c r="AD160" s="348"/>
      <c r="AE160" s="348"/>
      <c r="AF160" s="348"/>
      <c r="AG160" s="63"/>
      <c r="AH160" s="348"/>
      <c r="AI160" s="348"/>
      <c r="AJ160" s="348"/>
      <c r="AK160" s="348"/>
      <c r="AL160" s="63"/>
      <c r="AM160" s="348"/>
      <c r="AN160" s="348"/>
      <c r="AO160" s="348"/>
      <c r="AP160" s="348"/>
      <c r="AQ160" s="63"/>
      <c r="AR160" s="348"/>
      <c r="AS160" s="348"/>
      <c r="AT160" s="348"/>
      <c r="AU160" s="348"/>
      <c r="AV160" s="63"/>
      <c r="AW160" s="348"/>
      <c r="AX160" s="348"/>
      <c r="AY160" s="348"/>
      <c r="AZ160" s="348"/>
      <c r="BA160" s="63"/>
      <c r="BB160" s="348"/>
      <c r="BC160" s="348"/>
      <c r="BD160" s="348"/>
      <c r="BE160" s="348"/>
      <c r="BF160" s="63"/>
      <c r="BG160" s="348"/>
      <c r="BH160" s="348"/>
      <c r="BI160" s="348"/>
      <c r="BJ160" s="348"/>
      <c r="BK160" s="63">
        <f t="shared" si="16"/>
        <v>0</v>
      </c>
      <c r="BL160" s="348"/>
      <c r="BM160" s="348"/>
      <c r="BN160" s="348"/>
      <c r="BO160" s="348"/>
      <c r="BP160" s="63"/>
    </row>
    <row r="161" spans="1:68" ht="12" hidden="1" customHeight="1">
      <c r="B161" s="218" t="s">
        <v>292</v>
      </c>
      <c r="C161" s="2" t="s">
        <v>377</v>
      </c>
      <c r="D161" s="62"/>
      <c r="E161" s="62"/>
      <c r="F161" s="62"/>
      <c r="G161" s="64"/>
      <c r="H161" s="63"/>
      <c r="I161" s="62"/>
      <c r="J161" s="62"/>
      <c r="K161" s="62"/>
      <c r="L161" s="64"/>
      <c r="M161" s="63"/>
      <c r="N161" s="62"/>
      <c r="O161" s="62"/>
      <c r="P161" s="62"/>
      <c r="Q161" s="64"/>
      <c r="R161" s="63"/>
      <c r="S161" s="62"/>
      <c r="T161" s="62"/>
      <c r="U161" s="62"/>
      <c r="V161" s="62"/>
      <c r="W161" s="63"/>
      <c r="X161" s="62"/>
      <c r="Y161" s="62"/>
      <c r="Z161" s="62"/>
      <c r="AA161" s="62"/>
      <c r="AB161" s="63"/>
      <c r="AC161" s="348"/>
      <c r="AD161" s="348"/>
      <c r="AE161" s="348"/>
      <c r="AF161" s="348"/>
      <c r="AG161" s="63"/>
      <c r="AH161" s="348"/>
      <c r="AI161" s="348"/>
      <c r="AJ161" s="348"/>
      <c r="AK161" s="348"/>
      <c r="AL161" s="63"/>
      <c r="AM161" s="348"/>
      <c r="AN161" s="348"/>
      <c r="AO161" s="348"/>
      <c r="AP161" s="348"/>
      <c r="AQ161" s="63"/>
      <c r="AR161" s="348"/>
      <c r="AS161" s="348"/>
      <c r="AT161" s="348"/>
      <c r="AU161" s="348"/>
      <c r="AV161" s="63"/>
      <c r="AW161" s="348"/>
      <c r="AX161" s="348"/>
      <c r="AY161" s="348"/>
      <c r="AZ161" s="348"/>
      <c r="BA161" s="63"/>
      <c r="BB161" s="348"/>
      <c r="BC161" s="348"/>
      <c r="BD161" s="348"/>
      <c r="BE161" s="348"/>
      <c r="BF161" s="63"/>
      <c r="BG161" s="348"/>
      <c r="BH161" s="348"/>
      <c r="BI161" s="348"/>
      <c r="BJ161" s="348"/>
      <c r="BK161" s="63">
        <f t="shared" si="16"/>
        <v>0</v>
      </c>
      <c r="BL161" s="348"/>
      <c r="BM161" s="348"/>
      <c r="BN161" s="348"/>
      <c r="BO161" s="348"/>
      <c r="BP161" s="63"/>
    </row>
    <row r="162" spans="1:68" ht="12" hidden="1" customHeight="1">
      <c r="B162" s="218"/>
      <c r="C162" s="37" t="s">
        <v>286</v>
      </c>
      <c r="D162" s="8">
        <v>-4.9134957567499304E-3</v>
      </c>
      <c r="E162" s="8">
        <v>3.4000000000000002E-2</v>
      </c>
      <c r="F162" s="8">
        <v>-8.0000000000000002E-3</v>
      </c>
      <c r="G162" s="10">
        <v>-2.3E-2</v>
      </c>
      <c r="H162" s="9">
        <v>2.5000000000000001E-2</v>
      </c>
      <c r="I162" s="8">
        <v>-4.0000000000000001E-3</v>
      </c>
      <c r="J162" s="8">
        <v>3.7999999999999999E-2</v>
      </c>
      <c r="K162" s="8">
        <v>-2.5999999999999999E-2</v>
      </c>
      <c r="L162" s="10">
        <v>-1.0999999999999999E-2</v>
      </c>
      <c r="M162" s="9">
        <v>-3.0000000000000001E-3</v>
      </c>
      <c r="N162" s="8">
        <v>-8.9999999999999993E-3</v>
      </c>
      <c r="O162" s="8">
        <v>1.6E-2</v>
      </c>
      <c r="P162" s="8">
        <v>-2.4E-2</v>
      </c>
      <c r="Q162" s="10">
        <v>-1.0999999999999999E-2</v>
      </c>
      <c r="R162" s="9">
        <v>-2.5000000000000001E-2</v>
      </c>
      <c r="S162" s="8">
        <v>6.0000000000000001E-3</v>
      </c>
      <c r="T162" s="8">
        <v>0.01</v>
      </c>
      <c r="U162" s="8">
        <v>-1.0999999999999999E-2</v>
      </c>
      <c r="V162" s="8">
        <v>4.0000000000000001E-3</v>
      </c>
      <c r="W162" s="9">
        <v>-5.0000000000000001E-3</v>
      </c>
      <c r="X162" s="8">
        <v>1.0999999999999999E-2</v>
      </c>
      <c r="Y162" s="8">
        <v>8.0000000000000002E-3</v>
      </c>
      <c r="Z162" s="8">
        <v>0</v>
      </c>
      <c r="AA162" s="8">
        <v>1E-3</v>
      </c>
      <c r="AB162" s="9">
        <v>1.7000000000000001E-2</v>
      </c>
      <c r="AC162" s="336"/>
      <c r="AD162" s="336"/>
      <c r="AE162" s="336"/>
      <c r="AF162" s="336"/>
      <c r="AG162" s="9"/>
      <c r="AH162" s="336"/>
      <c r="AI162" s="336"/>
      <c r="AJ162" s="336"/>
      <c r="AK162" s="336"/>
      <c r="AL162" s="9"/>
      <c r="AM162" s="336"/>
      <c r="AN162" s="336"/>
      <c r="AO162" s="336"/>
      <c r="AP162" s="336"/>
      <c r="AQ162" s="9"/>
      <c r="AR162" s="336"/>
      <c r="AS162" s="336"/>
      <c r="AT162" s="336"/>
      <c r="AU162" s="336"/>
      <c r="AV162" s="9"/>
      <c r="AW162" s="336"/>
      <c r="AX162" s="336"/>
      <c r="AY162" s="336"/>
      <c r="AZ162" s="336"/>
      <c r="BA162" s="9"/>
      <c r="BB162" s="336"/>
      <c r="BC162" s="336"/>
      <c r="BD162" s="336"/>
      <c r="BE162" s="336"/>
      <c r="BF162" s="9"/>
      <c r="BG162" s="336"/>
      <c r="BH162" s="336"/>
      <c r="BI162" s="336"/>
      <c r="BJ162" s="336"/>
      <c r="BK162" s="9">
        <f t="shared" si="16"/>
        <v>0</v>
      </c>
      <c r="BL162" s="336"/>
      <c r="BM162" s="336"/>
      <c r="BN162" s="336"/>
      <c r="BO162" s="336"/>
      <c r="BP162" s="9"/>
    </row>
    <row r="163" spans="1:68" ht="12" hidden="1" customHeight="1">
      <c r="B163" s="218"/>
      <c r="C163" s="37" t="s">
        <v>287</v>
      </c>
      <c r="D163" s="8">
        <v>-6.2776170343308291E-3</v>
      </c>
      <c r="E163" s="8">
        <v>4.0000000000000001E-3</v>
      </c>
      <c r="F163" s="8">
        <v>-2.4E-2</v>
      </c>
      <c r="G163" s="10">
        <v>-0.02</v>
      </c>
      <c r="H163" s="9">
        <v>-1.2999999999999999E-2</v>
      </c>
      <c r="I163" s="8">
        <v>-2.3E-2</v>
      </c>
      <c r="J163" s="8">
        <v>3.2000000000000001E-2</v>
      </c>
      <c r="K163" s="8">
        <v>-2.4E-2</v>
      </c>
      <c r="L163" s="10">
        <v>-8.0000000000000002E-3</v>
      </c>
      <c r="M163" s="9">
        <v>-3.7228700650286606E-2</v>
      </c>
      <c r="N163" s="8">
        <v>-1.4E-2</v>
      </c>
      <c r="O163" s="8">
        <v>2E-3</v>
      </c>
      <c r="P163" s="8">
        <v>3.0000000000000001E-3</v>
      </c>
      <c r="Q163" s="10">
        <v>-1.2999999999999999E-2</v>
      </c>
      <c r="R163" s="9">
        <v>-2.4E-2</v>
      </c>
      <c r="S163" s="8">
        <v>1.9E-2</v>
      </c>
      <c r="T163" s="8">
        <v>2.4E-2</v>
      </c>
      <c r="U163" s="8">
        <v>4.0000000000000001E-3</v>
      </c>
      <c r="V163" s="8">
        <v>-2E-3</v>
      </c>
      <c r="W163" s="9">
        <v>2.8000000000000001E-2</v>
      </c>
      <c r="X163" s="8">
        <v>-1.0999999999999999E-2</v>
      </c>
      <c r="Y163" s="8">
        <v>1.7000000000000001E-2</v>
      </c>
      <c r="Z163" s="8">
        <v>-0.01</v>
      </c>
      <c r="AA163" s="8">
        <v>-1E-3</v>
      </c>
      <c r="AB163" s="9">
        <v>2E-3</v>
      </c>
      <c r="AC163" s="336"/>
      <c r="AD163" s="336"/>
      <c r="AE163" s="336"/>
      <c r="AF163" s="336"/>
      <c r="AG163" s="9"/>
      <c r="AH163" s="336"/>
      <c r="AI163" s="336"/>
      <c r="AJ163" s="336"/>
      <c r="AK163" s="336"/>
      <c r="AL163" s="9"/>
      <c r="AM163" s="336"/>
      <c r="AN163" s="336"/>
      <c r="AO163" s="336"/>
      <c r="AP163" s="336"/>
      <c r="AQ163" s="9"/>
      <c r="AR163" s="336"/>
      <c r="AS163" s="336"/>
      <c r="AT163" s="336"/>
      <c r="AU163" s="336"/>
      <c r="AV163" s="9"/>
      <c r="AW163" s="336"/>
      <c r="AX163" s="336"/>
      <c r="AY163" s="336"/>
      <c r="AZ163" s="336"/>
      <c r="BA163" s="9"/>
      <c r="BB163" s="336"/>
      <c r="BC163" s="336"/>
      <c r="BD163" s="336"/>
      <c r="BE163" s="336"/>
      <c r="BF163" s="9"/>
      <c r="BG163" s="336"/>
      <c r="BH163" s="336"/>
      <c r="BI163" s="336"/>
      <c r="BJ163" s="336"/>
      <c r="BK163" s="9">
        <f t="shared" si="16"/>
        <v>0</v>
      </c>
      <c r="BL163" s="336"/>
      <c r="BM163" s="336"/>
      <c r="BN163" s="336"/>
      <c r="BO163" s="336"/>
      <c r="BP163" s="9"/>
    </row>
    <row r="164" spans="1:68" ht="12" hidden="1" customHeight="1">
      <c r="B164" s="218"/>
      <c r="C164" s="3" t="s">
        <v>376</v>
      </c>
      <c r="D164" s="8">
        <v>-8.0496203907856057E-3</v>
      </c>
      <c r="E164" s="8">
        <v>1.2999999999999999E-2</v>
      </c>
      <c r="F164" s="8">
        <v>-1.7000000000000001E-2</v>
      </c>
      <c r="G164" s="10">
        <v>-1.7000000000000001E-2</v>
      </c>
      <c r="H164" s="9">
        <v>-1.4E-2</v>
      </c>
      <c r="I164" s="8">
        <v>-8.0000000000000002E-3</v>
      </c>
      <c r="J164" s="8">
        <v>3.4000000000000002E-2</v>
      </c>
      <c r="K164" s="8">
        <v>-0.02</v>
      </c>
      <c r="L164" s="10">
        <v>-8.9999999999999993E-3</v>
      </c>
      <c r="M164" s="9">
        <v>-1.0999999999999999E-2</v>
      </c>
      <c r="N164" s="8">
        <v>-7.0000000000000001E-3</v>
      </c>
      <c r="O164" s="8">
        <v>7.0000000000000001E-3</v>
      </c>
      <c r="P164" s="8">
        <v>-1.0999999999999999E-2</v>
      </c>
      <c r="Q164" s="10">
        <v>-8.9999999999999993E-3</v>
      </c>
      <c r="R164" s="9">
        <v>-1.9E-2</v>
      </c>
      <c r="S164" s="8">
        <v>1.2999999999999999E-2</v>
      </c>
      <c r="T164" s="8">
        <v>7.0000000000000001E-3</v>
      </c>
      <c r="U164" s="8">
        <v>-8.9999999999999993E-3</v>
      </c>
      <c r="V164" s="8">
        <v>-2E-3</v>
      </c>
      <c r="W164" s="9">
        <v>2E-3</v>
      </c>
      <c r="X164" s="8">
        <v>0</v>
      </c>
      <c r="Y164" s="8">
        <v>8.9999999999999993E-3</v>
      </c>
      <c r="Z164" s="8">
        <v>-1E-3</v>
      </c>
      <c r="AA164" s="8">
        <v>0</v>
      </c>
      <c r="AB164" s="9">
        <v>2E-3</v>
      </c>
      <c r="AC164" s="336" t="s">
        <v>266</v>
      </c>
      <c r="AD164" s="336" t="s">
        <v>266</v>
      </c>
      <c r="AE164" s="336"/>
      <c r="AF164" s="336"/>
      <c r="AG164" s="9"/>
      <c r="AH164" s="336"/>
      <c r="AI164" s="336"/>
      <c r="AJ164" s="336"/>
      <c r="AK164" s="336"/>
      <c r="AL164" s="9"/>
      <c r="AM164" s="336"/>
      <c r="AN164" s="336"/>
      <c r="AO164" s="336"/>
      <c r="AP164" s="336"/>
      <c r="AQ164" s="9"/>
      <c r="AR164" s="336"/>
      <c r="AS164" s="336"/>
      <c r="AT164" s="336"/>
      <c r="AU164" s="336"/>
      <c r="AV164" s="9"/>
      <c r="AW164" s="336"/>
      <c r="AX164" s="336"/>
      <c r="AY164" s="336"/>
      <c r="AZ164" s="336"/>
      <c r="BA164" s="9"/>
      <c r="BB164" s="336"/>
      <c r="BC164" s="336"/>
      <c r="BD164" s="336"/>
      <c r="BE164" s="336"/>
      <c r="BF164" s="9"/>
      <c r="BG164" s="336"/>
      <c r="BH164" s="336"/>
      <c r="BI164" s="336"/>
      <c r="BJ164" s="336"/>
      <c r="BK164" s="9">
        <f t="shared" si="16"/>
        <v>0</v>
      </c>
      <c r="BL164" s="336"/>
      <c r="BM164" s="336"/>
      <c r="BN164" s="336"/>
      <c r="BO164" s="336"/>
      <c r="BP164" s="9"/>
    </row>
    <row r="165" spans="1:68" ht="12" hidden="1" customHeight="1">
      <c r="B165" s="218"/>
      <c r="C165" s="3" t="s">
        <v>378</v>
      </c>
      <c r="D165" s="8"/>
      <c r="E165" s="8"/>
      <c r="F165" s="8"/>
      <c r="G165" s="10"/>
      <c r="H165" s="9"/>
      <c r="I165" s="8"/>
      <c r="J165" s="8"/>
      <c r="K165" s="8"/>
      <c r="L165" s="10"/>
      <c r="M165" s="9"/>
      <c r="N165" s="8"/>
      <c r="O165" s="8"/>
      <c r="P165" s="8"/>
      <c r="Q165" s="10"/>
      <c r="R165" s="9"/>
      <c r="S165" s="8"/>
      <c r="T165" s="8"/>
      <c r="U165" s="8"/>
      <c r="V165" s="8"/>
      <c r="W165" s="9"/>
      <c r="X165" s="336">
        <v>-4.0000000000000001E-3</v>
      </c>
      <c r="Y165" s="336">
        <v>-1.3699385204493097E-3</v>
      </c>
      <c r="Z165" s="336">
        <v>5.140499633088158E-3</v>
      </c>
      <c r="AA165" s="336">
        <v>7.249922520849994E-3</v>
      </c>
      <c r="AB165" s="9">
        <v>2E-3</v>
      </c>
      <c r="AC165" s="336">
        <v>1.099621023610764E-2</v>
      </c>
      <c r="AD165" s="336">
        <v>3.0000000000000001E-3</v>
      </c>
      <c r="AE165" s="336">
        <v>-4.0000000000000001E-3</v>
      </c>
      <c r="AF165" s="336">
        <v>-1.2999999999999999E-2</v>
      </c>
      <c r="AG165" s="9">
        <v>-1E-3</v>
      </c>
      <c r="AH165" s="336" t="s">
        <v>266</v>
      </c>
      <c r="AI165" s="336"/>
      <c r="AJ165" s="336"/>
      <c r="AK165" s="336"/>
      <c r="AL165" s="9" t="str">
        <f>AH165</f>
        <v>Discontinued</v>
      </c>
      <c r="AM165" s="336"/>
      <c r="AN165" s="336"/>
      <c r="AO165" s="336"/>
      <c r="AP165" s="336"/>
      <c r="AQ165" s="9"/>
      <c r="AR165" s="336"/>
      <c r="AS165" s="336"/>
      <c r="AT165" s="336"/>
      <c r="AU165" s="336"/>
      <c r="AV165" s="9"/>
      <c r="AW165" s="336"/>
      <c r="AX165" s="336"/>
      <c r="AY165" s="336"/>
      <c r="AZ165" s="336"/>
      <c r="BA165" s="9"/>
      <c r="BB165" s="336"/>
      <c r="BC165" s="336"/>
      <c r="BD165" s="336"/>
      <c r="BE165" s="336"/>
      <c r="BF165" s="9"/>
      <c r="BG165" s="336"/>
      <c r="BH165" s="336"/>
      <c r="BI165" s="336"/>
      <c r="BJ165" s="336"/>
      <c r="BK165" s="9">
        <f t="shared" si="16"/>
        <v>0</v>
      </c>
      <c r="BL165" s="336"/>
      <c r="BM165" s="336"/>
      <c r="BN165" s="336"/>
      <c r="BO165" s="336"/>
      <c r="BP165" s="9"/>
    </row>
    <row r="166" spans="1:68" hidden="1">
      <c r="B166" s="218"/>
      <c r="C166" s="3"/>
      <c r="D166" s="62"/>
      <c r="E166" s="62"/>
      <c r="F166" s="62"/>
      <c r="G166" s="64"/>
      <c r="H166" s="63"/>
      <c r="I166" s="62"/>
      <c r="J166" s="62"/>
      <c r="K166" s="62"/>
      <c r="L166" s="64"/>
      <c r="M166" s="63"/>
      <c r="N166" s="62"/>
      <c r="O166" s="62"/>
      <c r="P166" s="62"/>
      <c r="Q166" s="64"/>
      <c r="R166" s="63"/>
      <c r="S166" s="62"/>
      <c r="T166" s="62"/>
      <c r="U166" s="62"/>
      <c r="V166" s="62"/>
      <c r="W166" s="63"/>
      <c r="X166" s="62"/>
      <c r="Y166" s="62"/>
      <c r="Z166" s="62"/>
      <c r="AA166" s="62"/>
      <c r="AB166" s="63"/>
      <c r="AC166" s="348"/>
      <c r="AD166" s="348"/>
      <c r="AE166" s="348"/>
      <c r="AF166" s="348"/>
      <c r="AG166" s="63"/>
      <c r="AH166" s="348"/>
      <c r="AI166" s="348"/>
      <c r="AJ166" s="348"/>
      <c r="AK166" s="348"/>
      <c r="AL166" s="63"/>
      <c r="AM166" s="348"/>
      <c r="AN166" s="348"/>
      <c r="AO166" s="348"/>
      <c r="AP166" s="348"/>
      <c r="AQ166" s="63"/>
      <c r="AR166" s="348"/>
      <c r="AS166" s="348"/>
      <c r="AT166" s="348"/>
      <c r="AU166" s="348"/>
      <c r="AV166" s="63"/>
      <c r="AW166" s="348"/>
      <c r="AX166" s="348"/>
      <c r="AY166" s="348"/>
      <c r="AZ166" s="348"/>
      <c r="BA166" s="63"/>
      <c r="BB166" s="348"/>
      <c r="BC166" s="348"/>
      <c r="BD166" s="348"/>
      <c r="BE166" s="348"/>
      <c r="BF166" s="63"/>
      <c r="BG166" s="348"/>
      <c r="BH166" s="348"/>
      <c r="BI166" s="348"/>
      <c r="BJ166" s="348"/>
      <c r="BK166" s="63">
        <f t="shared" si="16"/>
        <v>0</v>
      </c>
      <c r="BL166" s="348"/>
      <c r="BM166" s="348"/>
      <c r="BN166" s="348"/>
      <c r="BO166" s="348"/>
      <c r="BP166" s="63"/>
    </row>
    <row r="167" spans="1:68" hidden="1">
      <c r="A167" s="213"/>
      <c r="B167" s="221">
        <v>6</v>
      </c>
      <c r="C167" s="224" t="s">
        <v>379</v>
      </c>
      <c r="D167" s="214">
        <v>52.6</v>
      </c>
      <c r="E167" s="214">
        <v>52.4</v>
      </c>
      <c r="F167" s="214">
        <v>52.7</v>
      </c>
      <c r="G167" s="212">
        <v>52.3</v>
      </c>
      <c r="H167" s="215">
        <v>52.3</v>
      </c>
      <c r="I167" s="214">
        <v>51.7</v>
      </c>
      <c r="J167" s="214">
        <v>51.2</v>
      </c>
      <c r="K167" s="214">
        <v>50.5</v>
      </c>
      <c r="L167" s="212">
        <v>50.7</v>
      </c>
      <c r="M167" s="215">
        <v>50.7</v>
      </c>
      <c r="N167" s="214">
        <v>50.9</v>
      </c>
      <c r="O167" s="214">
        <v>51</v>
      </c>
      <c r="P167" s="210">
        <v>51.2</v>
      </c>
      <c r="Q167" s="212">
        <v>51.4</v>
      </c>
      <c r="R167" s="215">
        <v>51.4</v>
      </c>
      <c r="S167" s="214">
        <v>51.9</v>
      </c>
      <c r="T167" s="214">
        <v>52.7</v>
      </c>
      <c r="U167" s="214">
        <v>53.7</v>
      </c>
      <c r="V167" s="214">
        <v>54.6</v>
      </c>
      <c r="W167" s="215">
        <v>54.6</v>
      </c>
      <c r="X167" s="214">
        <v>54.9</v>
      </c>
      <c r="Y167" s="214">
        <v>54.7</v>
      </c>
      <c r="Z167" s="214">
        <v>54.3</v>
      </c>
      <c r="AA167" s="214">
        <v>54</v>
      </c>
      <c r="AB167" s="215">
        <v>54</v>
      </c>
      <c r="AC167" s="350">
        <v>54.1</v>
      </c>
      <c r="AD167" s="350">
        <v>54.4</v>
      </c>
      <c r="AE167" s="350">
        <v>54.4</v>
      </c>
      <c r="AF167" s="350">
        <v>54.1</v>
      </c>
      <c r="AG167" s="215">
        <v>54.1</v>
      </c>
      <c r="AH167" s="350">
        <v>53.5</v>
      </c>
      <c r="AI167" s="350">
        <v>53.5</v>
      </c>
      <c r="AJ167" s="350">
        <v>54.3</v>
      </c>
      <c r="AK167" s="350">
        <v>55.2</v>
      </c>
      <c r="AL167" s="215">
        <v>55.2</v>
      </c>
      <c r="AM167" s="350">
        <v>56.6</v>
      </c>
      <c r="AN167" s="350">
        <v>57.3</v>
      </c>
      <c r="AO167" s="350">
        <v>57.9</v>
      </c>
      <c r="AP167" s="350">
        <v>57.7</v>
      </c>
      <c r="AQ167" s="215">
        <v>57.7</v>
      </c>
      <c r="AR167" s="350">
        <v>56.9</v>
      </c>
      <c r="AS167" s="350">
        <v>55.5</v>
      </c>
      <c r="AT167" s="350">
        <v>54.2</v>
      </c>
      <c r="AU167" s="350">
        <v>53.4</v>
      </c>
      <c r="AV167" s="215">
        <v>53.4</v>
      </c>
      <c r="AW167" s="350" t="s">
        <v>266</v>
      </c>
      <c r="AX167" s="350"/>
      <c r="AY167" s="350"/>
      <c r="AZ167" s="350"/>
      <c r="BA167" s="215"/>
      <c r="BB167" s="350"/>
      <c r="BC167" s="350"/>
      <c r="BD167" s="350"/>
      <c r="BE167" s="350"/>
      <c r="BF167" s="215"/>
      <c r="BG167" s="350"/>
      <c r="BH167" s="350"/>
      <c r="BI167" s="350"/>
      <c r="BJ167" s="350"/>
      <c r="BK167" s="215">
        <f t="shared" si="16"/>
        <v>0</v>
      </c>
      <c r="BL167" s="350"/>
      <c r="BM167" s="350"/>
      <c r="BN167" s="350"/>
      <c r="BO167" s="350"/>
      <c r="BP167" s="215"/>
    </row>
    <row r="168" spans="1:68">
      <c r="B168" s="218"/>
      <c r="C168" s="3"/>
      <c r="D168" s="62"/>
      <c r="E168" s="62"/>
      <c r="F168" s="62"/>
      <c r="G168" s="64"/>
      <c r="H168" s="63"/>
      <c r="I168" s="62"/>
      <c r="J168" s="62"/>
      <c r="K168" s="62"/>
      <c r="L168" s="64"/>
      <c r="M168" s="63"/>
      <c r="N168" s="62"/>
      <c r="O168" s="62"/>
      <c r="P168" s="62"/>
      <c r="Q168" s="64"/>
      <c r="R168" s="63"/>
      <c r="S168" s="62"/>
      <c r="T168" s="62"/>
      <c r="U168" s="62"/>
      <c r="V168" s="62"/>
      <c r="W168" s="63"/>
      <c r="X168" s="62"/>
      <c r="Y168" s="62"/>
      <c r="Z168" s="62"/>
      <c r="AA168" s="62"/>
      <c r="AB168" s="63"/>
      <c r="AC168" s="348"/>
      <c r="AD168" s="348"/>
      <c r="AE168" s="348"/>
      <c r="AF168" s="348"/>
      <c r="AG168" s="63"/>
      <c r="AH168" s="348"/>
      <c r="AI168" s="348"/>
      <c r="AJ168" s="348"/>
      <c r="AK168" s="348"/>
      <c r="AL168" s="63"/>
      <c r="AM168" s="348"/>
      <c r="AN168" s="348"/>
      <c r="AO168" s="348"/>
      <c r="AP168" s="348"/>
      <c r="AQ168" s="63"/>
      <c r="AR168" s="348"/>
      <c r="AS168" s="348"/>
      <c r="AT168" s="348"/>
      <c r="AU168" s="348"/>
      <c r="AV168" s="63"/>
      <c r="AW168" s="348"/>
      <c r="AX168" s="348"/>
      <c r="AY168" s="348"/>
      <c r="AZ168" s="348"/>
      <c r="BA168" s="63"/>
      <c r="BB168" s="348"/>
      <c r="BC168" s="348"/>
      <c r="BD168" s="348"/>
      <c r="BE168" s="348"/>
      <c r="BF168" s="63"/>
      <c r="BG168" s="348"/>
      <c r="BH168" s="348"/>
      <c r="BI168" s="348"/>
      <c r="BJ168" s="348"/>
      <c r="BK168" s="63"/>
      <c r="BL168" s="348"/>
      <c r="BM168" s="348"/>
      <c r="BN168" s="348"/>
      <c r="BO168" s="348"/>
      <c r="BP168" s="63"/>
    </row>
    <row r="169" spans="1:68" s="147" customFormat="1">
      <c r="B169" s="218">
        <v>6</v>
      </c>
      <c r="C169" s="279" t="s">
        <v>380</v>
      </c>
      <c r="D169" s="210"/>
      <c r="E169" s="210"/>
      <c r="F169" s="210"/>
      <c r="G169" s="280"/>
      <c r="H169" s="211"/>
      <c r="I169" s="210"/>
      <c r="J169" s="210"/>
      <c r="K169" s="210"/>
      <c r="L169" s="280"/>
      <c r="M169" s="211"/>
      <c r="N169" s="210"/>
      <c r="O169" s="210"/>
      <c r="P169" s="210"/>
      <c r="Q169" s="280"/>
      <c r="R169" s="211"/>
      <c r="S169" s="210"/>
      <c r="T169" s="210"/>
      <c r="U169" s="210"/>
      <c r="V169" s="210"/>
      <c r="W169" s="211"/>
      <c r="X169" s="210"/>
      <c r="Y169" s="210"/>
      <c r="Z169" s="210"/>
      <c r="AA169" s="210"/>
      <c r="AB169" s="211"/>
      <c r="AC169" s="351"/>
      <c r="AD169" s="351"/>
      <c r="AE169" s="351"/>
      <c r="AF169" s="351"/>
      <c r="AG169" s="211"/>
      <c r="AH169" s="351"/>
      <c r="AI169" s="351"/>
      <c r="AJ169" s="351"/>
      <c r="AK169" s="351"/>
      <c r="AL169" s="211"/>
      <c r="AM169" s="351"/>
      <c r="AN169" s="351"/>
      <c r="AO169" s="351"/>
      <c r="AP169" s="351"/>
      <c r="AQ169" s="211"/>
      <c r="AR169" s="351"/>
      <c r="AS169" s="351"/>
      <c r="AT169" s="351"/>
      <c r="AU169" s="351"/>
      <c r="AV169" s="211"/>
      <c r="AW169" s="351"/>
      <c r="AX169" s="351"/>
      <c r="AY169" s="351"/>
      <c r="AZ169" s="351"/>
      <c r="BA169" s="211"/>
      <c r="BB169" s="351"/>
      <c r="BC169" s="351"/>
      <c r="BD169" s="351"/>
      <c r="BE169" s="351"/>
      <c r="BF169" s="211"/>
      <c r="BG169" s="351"/>
      <c r="BH169" s="351"/>
      <c r="BI169" s="351"/>
      <c r="BJ169" s="351"/>
      <c r="BK169" s="211"/>
      <c r="BL169" s="351"/>
      <c r="BM169" s="351"/>
      <c r="BN169" s="351"/>
      <c r="BO169" s="351"/>
      <c r="BP169" s="211"/>
    </row>
    <row r="170" spans="1:68" s="147" customFormat="1">
      <c r="B170" s="218"/>
      <c r="C170" s="281" t="s">
        <v>381</v>
      </c>
      <c r="D170" s="42">
        <v>0.93</v>
      </c>
      <c r="E170" s="42">
        <v>0.91700000000000004</v>
      </c>
      <c r="F170" s="42">
        <v>0.84899999999999998</v>
      </c>
      <c r="G170" s="67">
        <v>0.78</v>
      </c>
      <c r="H170" s="66">
        <v>0.86899999999999999</v>
      </c>
      <c r="I170" s="42">
        <v>0.78</v>
      </c>
      <c r="J170" s="42">
        <v>0.71</v>
      </c>
      <c r="K170" s="42">
        <v>0.72</v>
      </c>
      <c r="L170" s="67">
        <v>0.73</v>
      </c>
      <c r="M170" s="66">
        <v>0.72499999999999998</v>
      </c>
      <c r="N170" s="42">
        <v>0.74</v>
      </c>
      <c r="O170" s="42">
        <v>0.76</v>
      </c>
      <c r="P170" s="42">
        <v>0.74</v>
      </c>
      <c r="Q170" s="67">
        <v>0.76232579049902582</v>
      </c>
      <c r="R170" s="66">
        <v>0.75195589002309815</v>
      </c>
      <c r="S170" s="42">
        <v>0.75252290017078094</v>
      </c>
      <c r="T170" s="42">
        <v>0.79422270538903561</v>
      </c>
      <c r="U170" s="42">
        <v>0.76621768075553487</v>
      </c>
      <c r="V170" s="42">
        <v>0.78708876474239609</v>
      </c>
      <c r="W170" s="66">
        <v>0.77500678741806606</v>
      </c>
      <c r="X170" s="42">
        <v>0.75118483412322279</v>
      </c>
      <c r="Y170" s="42">
        <v>0.73138561906112598</v>
      </c>
      <c r="Z170" s="210">
        <v>0.71</v>
      </c>
      <c r="AA170" s="210">
        <v>0.71</v>
      </c>
      <c r="AB170" s="66">
        <v>0.73</v>
      </c>
      <c r="AC170" s="352">
        <v>0.7</v>
      </c>
      <c r="AD170" s="352">
        <v>0.68</v>
      </c>
      <c r="AE170" s="352">
        <v>0.69</v>
      </c>
      <c r="AF170" s="352">
        <v>0.65</v>
      </c>
      <c r="AG170" s="66">
        <v>0.68</v>
      </c>
      <c r="AH170" s="352">
        <v>0.66</v>
      </c>
      <c r="AI170" s="352">
        <v>0.72</v>
      </c>
      <c r="AJ170" s="352">
        <v>0.74</v>
      </c>
      <c r="AK170" s="352">
        <v>0.77</v>
      </c>
      <c r="AL170" s="66">
        <v>0.72</v>
      </c>
      <c r="AM170" s="352">
        <v>0.77</v>
      </c>
      <c r="AN170" s="352">
        <v>0.73</v>
      </c>
      <c r="AO170" s="352">
        <v>0.73</v>
      </c>
      <c r="AP170" s="352">
        <v>0.72</v>
      </c>
      <c r="AQ170" s="66">
        <v>0.74</v>
      </c>
      <c r="AR170" s="352">
        <v>0.71</v>
      </c>
      <c r="AS170" s="352">
        <v>0.68</v>
      </c>
      <c r="AT170" s="352">
        <v>0.66</v>
      </c>
      <c r="AU170" s="352">
        <v>0.68</v>
      </c>
      <c r="AV170" s="66">
        <v>0.68</v>
      </c>
      <c r="AW170" s="352">
        <v>0.66</v>
      </c>
      <c r="AX170" s="352">
        <v>0.65</v>
      </c>
      <c r="AY170" s="42">
        <v>0.66</v>
      </c>
      <c r="AZ170" s="352">
        <v>0.66</v>
      </c>
      <c r="BA170" s="66">
        <v>0.66</v>
      </c>
      <c r="BB170" s="352">
        <v>0.66</v>
      </c>
      <c r="BC170" s="352">
        <v>0.67</v>
      </c>
      <c r="BD170" s="42">
        <v>0.65</v>
      </c>
      <c r="BE170" s="352">
        <v>0.63</v>
      </c>
      <c r="BF170" s="66">
        <v>0.65</v>
      </c>
      <c r="BG170" s="352">
        <v>0.64</v>
      </c>
      <c r="BH170" s="352">
        <v>0.65</v>
      </c>
      <c r="BI170" s="42">
        <v>0.66</v>
      </c>
      <c r="BJ170" s="352">
        <v>0.7</v>
      </c>
      <c r="BK170" s="66">
        <v>0.66</v>
      </c>
      <c r="BL170" s="352">
        <v>0.71</v>
      </c>
      <c r="BM170" s="352">
        <v>0.71</v>
      </c>
      <c r="BN170" s="42"/>
      <c r="BO170" s="352"/>
      <c r="BP170" s="66">
        <v>0.71</v>
      </c>
    </row>
    <row r="171" spans="1:68" s="147" customFormat="1">
      <c r="B171" s="218"/>
      <c r="C171" s="281" t="s">
        <v>382</v>
      </c>
      <c r="D171" s="42">
        <v>1.37</v>
      </c>
      <c r="E171" s="42">
        <v>1.3160000000000001</v>
      </c>
      <c r="F171" s="42">
        <v>1.2470000000000001</v>
      </c>
      <c r="G171" s="67">
        <v>1.1100000000000001</v>
      </c>
      <c r="H171" s="66">
        <v>1.26075</v>
      </c>
      <c r="I171" s="42">
        <v>1.1100000000000001</v>
      </c>
      <c r="J171" s="42">
        <v>1.1100000000000001</v>
      </c>
      <c r="K171" s="42">
        <v>1.0900000000000001</v>
      </c>
      <c r="L171" s="67">
        <v>1.1000000000000001</v>
      </c>
      <c r="M171" s="66">
        <v>1.1025</v>
      </c>
      <c r="N171" s="42">
        <v>1.1200000000000001</v>
      </c>
      <c r="O171" s="42">
        <v>1.1200000000000001</v>
      </c>
      <c r="P171" s="42">
        <v>1.232791728212703</v>
      </c>
      <c r="Q171" s="67">
        <v>1.0672860782256854</v>
      </c>
      <c r="R171" s="66">
        <v>1.0934356605320019</v>
      </c>
      <c r="S171" s="42">
        <v>1.1103865859338613</v>
      </c>
      <c r="T171" s="42">
        <v>1.181239322876223</v>
      </c>
      <c r="U171" s="42">
        <v>1.1802136553646074</v>
      </c>
      <c r="V171" s="42">
        <v>1.234326505276226</v>
      </c>
      <c r="W171" s="66">
        <v>1.1765504402125431</v>
      </c>
      <c r="X171" s="42">
        <v>1.185574644549763</v>
      </c>
      <c r="Y171" s="42">
        <v>1.1660757339384484</v>
      </c>
      <c r="Z171" s="210">
        <v>1.1399999999999999</v>
      </c>
      <c r="AA171" s="210">
        <v>1.1399999999999999</v>
      </c>
      <c r="AB171" s="66">
        <v>1.1599999999999999</v>
      </c>
      <c r="AC171" s="352">
        <v>1.1200000000000001</v>
      </c>
      <c r="AD171" s="352">
        <v>1.1100000000000001</v>
      </c>
      <c r="AE171" s="352">
        <v>1.1100000000000001</v>
      </c>
      <c r="AF171" s="352">
        <v>1.1000000000000001</v>
      </c>
      <c r="AG171" s="66">
        <v>1.1100000000000001</v>
      </c>
      <c r="AH171" s="352">
        <v>1.1000000000000001</v>
      </c>
      <c r="AI171" s="352">
        <v>1.17</v>
      </c>
      <c r="AJ171" s="352">
        <v>1.2</v>
      </c>
      <c r="AK171" s="352">
        <v>1.2</v>
      </c>
      <c r="AL171" s="66">
        <v>1.17</v>
      </c>
      <c r="AM171" s="352">
        <v>1.21</v>
      </c>
      <c r="AN171" s="352">
        <v>1.18</v>
      </c>
      <c r="AO171" s="352">
        <v>1.1399999999999999</v>
      </c>
      <c r="AP171" s="352">
        <v>1.1200000000000001</v>
      </c>
      <c r="AQ171" s="66">
        <v>1.1599999999999999</v>
      </c>
      <c r="AR171" s="352">
        <v>1.06</v>
      </c>
      <c r="AS171" s="352">
        <v>1</v>
      </c>
      <c r="AT171" s="352">
        <v>1.03</v>
      </c>
      <c r="AU171" s="352">
        <v>1.08</v>
      </c>
      <c r="AV171" s="66">
        <v>1.04</v>
      </c>
      <c r="AW171" s="352">
        <v>1.0900000000000001</v>
      </c>
      <c r="AX171" s="352">
        <v>1.0900000000000001</v>
      </c>
      <c r="AY171" s="42">
        <v>1.08</v>
      </c>
      <c r="AZ171" s="352">
        <v>1.08</v>
      </c>
      <c r="BA171" s="66">
        <v>1.08</v>
      </c>
      <c r="BB171" s="352">
        <v>1.07</v>
      </c>
      <c r="BC171" s="352">
        <v>1.1000000000000001</v>
      </c>
      <c r="BD171" s="42">
        <v>1.06</v>
      </c>
      <c r="BE171" s="352">
        <v>1.06</v>
      </c>
      <c r="BF171" s="66">
        <v>1.07</v>
      </c>
      <c r="BG171" s="352">
        <v>1.1399999999999999</v>
      </c>
      <c r="BH171" s="352">
        <v>1.17</v>
      </c>
      <c r="BI171" s="42">
        <v>1.1599999999999999</v>
      </c>
      <c r="BJ171" s="352">
        <v>1.17</v>
      </c>
      <c r="BK171" s="66">
        <v>1.1599999999999999</v>
      </c>
      <c r="BL171" s="352">
        <v>1.1599999999999999</v>
      </c>
      <c r="BM171" s="352">
        <v>1.1499999999999999</v>
      </c>
      <c r="BN171" s="42"/>
      <c r="BO171" s="352"/>
      <c r="BP171" s="66">
        <v>1.1599999999999999</v>
      </c>
    </row>
    <row r="172" spans="1:68" s="147" customFormat="1">
      <c r="B172" s="218"/>
      <c r="C172" s="281" t="s">
        <v>383</v>
      </c>
      <c r="D172" s="42">
        <v>1.69</v>
      </c>
      <c r="E172" s="42">
        <v>1.6619999999999999</v>
      </c>
      <c r="F172" s="42">
        <v>1.5760000000000001</v>
      </c>
      <c r="G172" s="67">
        <v>1.51</v>
      </c>
      <c r="H172" s="66">
        <v>1.6094999999999999</v>
      </c>
      <c r="I172" s="42">
        <v>1.55</v>
      </c>
      <c r="J172" s="42">
        <v>1.54</v>
      </c>
      <c r="K172" s="42">
        <v>1.51</v>
      </c>
      <c r="L172" s="67">
        <v>1.42</v>
      </c>
      <c r="M172" s="66">
        <v>1.5049999999999999</v>
      </c>
      <c r="N172" s="42">
        <v>1.43</v>
      </c>
      <c r="O172" s="42">
        <v>1.31</v>
      </c>
      <c r="P172" s="42">
        <v>1.23</v>
      </c>
      <c r="Q172" s="67">
        <v>1.2456166641690394</v>
      </c>
      <c r="R172" s="66">
        <v>1.3026227553833543</v>
      </c>
      <c r="S172" s="42">
        <v>1.28</v>
      </c>
      <c r="T172" s="42">
        <v>1.32</v>
      </c>
      <c r="U172" s="42">
        <v>1.33</v>
      </c>
      <c r="V172" s="42">
        <v>1.41</v>
      </c>
      <c r="W172" s="66">
        <v>1.33</v>
      </c>
      <c r="X172" s="42">
        <v>1.35</v>
      </c>
      <c r="Y172" s="42">
        <v>1.31</v>
      </c>
      <c r="Z172" s="210">
        <v>1.27</v>
      </c>
      <c r="AA172" s="210">
        <v>1.32</v>
      </c>
      <c r="AB172" s="66">
        <v>1.31</v>
      </c>
      <c r="AC172" s="352">
        <v>1.28</v>
      </c>
      <c r="AD172" s="352">
        <v>1.23</v>
      </c>
      <c r="AE172" s="352">
        <v>1.29</v>
      </c>
      <c r="AF172" s="352">
        <v>1.27</v>
      </c>
      <c r="AG172" s="66">
        <v>1.27</v>
      </c>
      <c r="AH172" s="352">
        <v>1.24</v>
      </c>
      <c r="AI172" s="352">
        <v>1.3</v>
      </c>
      <c r="AJ172" s="352">
        <v>1.33</v>
      </c>
      <c r="AK172" s="352">
        <v>1.38</v>
      </c>
      <c r="AL172" s="66">
        <v>1.31</v>
      </c>
      <c r="AM172" s="352">
        <v>1.4</v>
      </c>
      <c r="AN172" s="352">
        <v>1.38</v>
      </c>
      <c r="AO172" s="352">
        <v>1.35</v>
      </c>
      <c r="AP172" s="352">
        <v>1.34</v>
      </c>
      <c r="AQ172" s="66">
        <v>1.36</v>
      </c>
      <c r="AR172" s="352">
        <v>1.25</v>
      </c>
      <c r="AS172" s="352">
        <v>1.1599999999999999</v>
      </c>
      <c r="AT172" s="352">
        <v>1.18</v>
      </c>
      <c r="AU172" s="352">
        <v>1.22</v>
      </c>
      <c r="AV172" s="66">
        <v>1.2</v>
      </c>
      <c r="AW172" s="352">
        <v>1.25</v>
      </c>
      <c r="AX172" s="352">
        <v>1.26</v>
      </c>
      <c r="AY172" s="42">
        <v>1.25</v>
      </c>
      <c r="AZ172" s="352">
        <v>1.27</v>
      </c>
      <c r="BA172" s="66">
        <v>1.26</v>
      </c>
      <c r="BB172" s="352">
        <v>1.26</v>
      </c>
      <c r="BC172" s="352">
        <v>1.31</v>
      </c>
      <c r="BD172" s="42">
        <v>1.27</v>
      </c>
      <c r="BE172" s="352">
        <v>1.27</v>
      </c>
      <c r="BF172" s="66">
        <v>1.28</v>
      </c>
      <c r="BG172" s="352">
        <v>1.35</v>
      </c>
      <c r="BH172" s="352">
        <v>1.35</v>
      </c>
      <c r="BI172" s="42">
        <v>1.33</v>
      </c>
      <c r="BJ172" s="352">
        <v>1.35</v>
      </c>
      <c r="BK172" s="66">
        <v>1.34</v>
      </c>
      <c r="BL172" s="352">
        <v>1.34</v>
      </c>
      <c r="BM172" s="352">
        <v>1.34</v>
      </c>
      <c r="BN172" s="42"/>
      <c r="BO172" s="352"/>
      <c r="BP172" s="66">
        <v>1.34</v>
      </c>
    </row>
    <row r="173" spans="1:68">
      <c r="B173" s="218"/>
      <c r="C173" s="3"/>
      <c r="D173" s="62"/>
      <c r="E173" s="62"/>
      <c r="F173" s="62"/>
      <c r="G173" s="64"/>
      <c r="H173" s="63"/>
      <c r="I173" s="62"/>
      <c r="J173" s="62"/>
      <c r="K173" s="62"/>
      <c r="L173" s="64"/>
      <c r="M173" s="63"/>
      <c r="N173" s="62"/>
      <c r="O173" s="62"/>
      <c r="P173" s="62"/>
      <c r="Q173" s="64"/>
      <c r="R173" s="63"/>
      <c r="S173" s="62"/>
      <c r="T173" s="62"/>
      <c r="U173" s="62"/>
      <c r="V173" s="62"/>
      <c r="W173" s="63"/>
      <c r="X173" s="62"/>
      <c r="Y173" s="62"/>
      <c r="Z173" s="62"/>
      <c r="AA173" s="62"/>
      <c r="AB173" s="63"/>
      <c r="AC173" s="348"/>
      <c r="AD173" s="348"/>
      <c r="AE173" s="348"/>
      <c r="AF173" s="348"/>
      <c r="AG173" s="63"/>
      <c r="AH173" s="348"/>
      <c r="AI173" s="348"/>
      <c r="AJ173" s="348"/>
      <c r="AK173" s="348"/>
      <c r="AL173" s="63"/>
      <c r="AM173" s="348"/>
      <c r="AN173" s="348"/>
      <c r="AO173" s="348"/>
      <c r="AP173" s="348"/>
      <c r="AQ173" s="63"/>
      <c r="AR173" s="348"/>
      <c r="AS173" s="348"/>
      <c r="AT173" s="348"/>
      <c r="AU173" s="348"/>
      <c r="AV173" s="63"/>
      <c r="AW173" s="348"/>
      <c r="AX173" s="348"/>
      <c r="AY173" s="348"/>
      <c r="AZ173" s="348"/>
      <c r="BA173" s="63"/>
      <c r="BB173" s="348"/>
      <c r="BC173" s="348"/>
      <c r="BD173" s="348"/>
      <c r="BE173" s="348"/>
      <c r="BF173" s="63"/>
      <c r="BG173" s="348"/>
      <c r="BH173" s="348"/>
      <c r="BI173" s="348"/>
      <c r="BJ173" s="348"/>
      <c r="BK173" s="63"/>
      <c r="BL173" s="348"/>
      <c r="BM173" s="348"/>
      <c r="BN173" s="348"/>
      <c r="BO173" s="348"/>
      <c r="BP173" s="63"/>
    </row>
    <row r="174" spans="1:68" s="68" customFormat="1">
      <c r="B174" s="218">
        <v>7</v>
      </c>
      <c r="C174" s="65" t="s">
        <v>384</v>
      </c>
      <c r="D174" s="42">
        <v>59.85</v>
      </c>
      <c r="E174" s="42">
        <v>60.63</v>
      </c>
      <c r="F174" s="42">
        <v>62.16</v>
      </c>
      <c r="G174" s="67">
        <v>62.08</v>
      </c>
      <c r="H174" s="66">
        <v>61.18</v>
      </c>
      <c r="I174" s="42">
        <v>63.63</v>
      </c>
      <c r="J174" s="42">
        <v>65.36</v>
      </c>
      <c r="K174" s="42">
        <v>66.05</v>
      </c>
      <c r="L174" s="67">
        <v>67.72</v>
      </c>
      <c r="M174" s="66">
        <v>65.69</v>
      </c>
      <c r="N174" s="42">
        <v>67.08</v>
      </c>
      <c r="O174" s="42">
        <v>66.91</v>
      </c>
      <c r="P174" s="42">
        <v>67.7</v>
      </c>
      <c r="Q174" s="67">
        <v>66.73</v>
      </c>
      <c r="R174" s="66">
        <v>67.11</v>
      </c>
      <c r="S174" s="42">
        <v>64.41</v>
      </c>
      <c r="T174" s="42">
        <v>64.39</v>
      </c>
      <c r="U174" s="42">
        <v>64.59</v>
      </c>
      <c r="V174" s="42">
        <v>64.44</v>
      </c>
      <c r="W174" s="66">
        <v>64.459999999999994</v>
      </c>
      <c r="X174" s="42">
        <v>67.52</v>
      </c>
      <c r="Y174" s="42">
        <v>70.510000000000005</v>
      </c>
      <c r="Z174" s="42">
        <v>71.66</v>
      </c>
      <c r="AA174" s="42">
        <v>70.45</v>
      </c>
      <c r="AB174" s="66">
        <v>70.040000000000006</v>
      </c>
      <c r="AC174" s="352">
        <v>69.650000000000006</v>
      </c>
      <c r="AD174" s="352">
        <v>70.489999999999995</v>
      </c>
      <c r="AE174" s="352">
        <v>71.22</v>
      </c>
      <c r="AF174" s="352">
        <v>72.69</v>
      </c>
      <c r="AG174" s="66">
        <v>71.010000000000005</v>
      </c>
      <c r="AH174" s="352">
        <v>75.83</v>
      </c>
      <c r="AI174" s="352">
        <v>74.22</v>
      </c>
      <c r="AJ174" s="352">
        <v>73.760000000000005</v>
      </c>
      <c r="AK174" s="352">
        <v>72.83</v>
      </c>
      <c r="AL174" s="66">
        <v>74.16</v>
      </c>
      <c r="AM174" s="352">
        <v>73.760000000000005</v>
      </c>
      <c r="AN174" s="352">
        <v>74.05</v>
      </c>
      <c r="AO174" s="352">
        <v>74.959999999999994</v>
      </c>
      <c r="AP174" s="352">
        <v>75.33</v>
      </c>
      <c r="AQ174" s="66">
        <v>74.52</v>
      </c>
      <c r="AR174" s="352">
        <v>77.489999999999995</v>
      </c>
      <c r="AS174" s="352">
        <v>80.16</v>
      </c>
      <c r="AT174" s="352">
        <v>82.22</v>
      </c>
      <c r="AU174" s="352">
        <v>82.2</v>
      </c>
      <c r="AV174" s="66">
        <v>80.52</v>
      </c>
      <c r="AW174" s="352">
        <v>82.17</v>
      </c>
      <c r="AX174" s="42">
        <v>82.63</v>
      </c>
      <c r="AY174" s="352">
        <v>83.25</v>
      </c>
      <c r="AZ174" s="352">
        <v>83.08</v>
      </c>
      <c r="BA174" s="66">
        <v>82.78</v>
      </c>
      <c r="BB174" s="352">
        <v>83.4</v>
      </c>
      <c r="BC174" s="42">
        <v>83.75</v>
      </c>
      <c r="BD174" s="352">
        <v>84.52</v>
      </c>
      <c r="BE174" s="352">
        <v>86.55</v>
      </c>
      <c r="BF174" s="66">
        <v>84.56</v>
      </c>
      <c r="BG174" s="352">
        <v>85.55</v>
      </c>
      <c r="BH174" s="42">
        <v>87.59</v>
      </c>
      <c r="BI174" s="352">
        <v>89.16</v>
      </c>
      <c r="BJ174" s="352">
        <v>91.96</v>
      </c>
      <c r="BK174" s="66">
        <v>88.57</v>
      </c>
      <c r="BL174" s="352">
        <v>94.89</v>
      </c>
      <c r="BM174" s="42">
        <v>95.71</v>
      </c>
      <c r="BN174" s="352"/>
      <c r="BO174" s="352"/>
      <c r="BP174" s="66">
        <v>95.3</v>
      </c>
    </row>
    <row r="175" spans="1:68" s="68" customFormat="1">
      <c r="B175" s="222"/>
      <c r="C175" s="65" t="s">
        <v>385</v>
      </c>
      <c r="D175" s="42">
        <v>60.18</v>
      </c>
      <c r="E175" s="42">
        <v>61.75</v>
      </c>
      <c r="F175" s="42">
        <v>63.04</v>
      </c>
      <c r="G175" s="67">
        <v>62.5</v>
      </c>
      <c r="H175" s="66">
        <v>62.5</v>
      </c>
      <c r="I175" s="42">
        <v>63.65</v>
      </c>
      <c r="J175" s="42">
        <v>65.59</v>
      </c>
      <c r="K175" s="42">
        <v>66.16</v>
      </c>
      <c r="L175" s="67">
        <v>66.260000000000005</v>
      </c>
      <c r="M175" s="66">
        <v>66.260000000000005</v>
      </c>
      <c r="N175" s="42">
        <v>67.53</v>
      </c>
      <c r="O175" s="42">
        <v>66.62</v>
      </c>
      <c r="P175" s="42">
        <v>67.930000000000007</v>
      </c>
      <c r="Q175" s="67">
        <v>64.849999999999994</v>
      </c>
      <c r="R175" s="66">
        <v>64.849999999999994</v>
      </c>
      <c r="S175" s="42">
        <v>64.58</v>
      </c>
      <c r="T175" s="42">
        <v>65.290000000000006</v>
      </c>
      <c r="U175" s="42">
        <v>63.88</v>
      </c>
      <c r="V175" s="42">
        <v>65.180000000000007</v>
      </c>
      <c r="W175" s="66">
        <v>65.180000000000007</v>
      </c>
      <c r="X175" s="42">
        <v>68.47</v>
      </c>
      <c r="Y175" s="42">
        <v>72.489999999999995</v>
      </c>
      <c r="Z175" s="42">
        <v>69.78</v>
      </c>
      <c r="AA175" s="42">
        <v>69.16</v>
      </c>
      <c r="AB175" s="66">
        <v>69.16</v>
      </c>
      <c r="AC175" s="352">
        <v>69.02</v>
      </c>
      <c r="AD175" s="352">
        <v>70.88</v>
      </c>
      <c r="AE175" s="352">
        <v>71.39</v>
      </c>
      <c r="AF175" s="352">
        <v>75.67</v>
      </c>
      <c r="AG175" s="66">
        <v>75.67</v>
      </c>
      <c r="AH175" s="352">
        <v>75.510000000000005</v>
      </c>
      <c r="AI175" s="352">
        <v>73.77</v>
      </c>
      <c r="AJ175" s="352">
        <v>73.069999999999993</v>
      </c>
      <c r="AK175" s="352">
        <v>73.11</v>
      </c>
      <c r="AL175" s="66">
        <v>73.11</v>
      </c>
      <c r="AM175" s="352">
        <v>74.33</v>
      </c>
      <c r="AN175" s="352">
        <v>74.23</v>
      </c>
      <c r="AO175" s="352">
        <v>74.34</v>
      </c>
      <c r="AP175" s="352">
        <v>75.790000000000006</v>
      </c>
      <c r="AQ175" s="66">
        <v>75.790000000000006</v>
      </c>
      <c r="AR175" s="352">
        <v>78.97</v>
      </c>
      <c r="AS175" s="352">
        <v>81.349999999999994</v>
      </c>
      <c r="AT175" s="352">
        <v>82.73</v>
      </c>
      <c r="AU175" s="352">
        <v>82.17</v>
      </c>
      <c r="AV175" s="66">
        <v>82.17</v>
      </c>
      <c r="AW175" s="352">
        <v>82.04</v>
      </c>
      <c r="AX175" s="352">
        <v>83.05</v>
      </c>
      <c r="AY175" s="42">
        <v>83.21</v>
      </c>
      <c r="AZ175" s="352">
        <v>83.41</v>
      </c>
      <c r="BA175" s="66">
        <v>83.41</v>
      </c>
      <c r="BB175" s="352">
        <v>83.39</v>
      </c>
      <c r="BC175" s="352">
        <v>83.8</v>
      </c>
      <c r="BD175" s="42">
        <v>85.62</v>
      </c>
      <c r="BE175" s="352">
        <v>85.48</v>
      </c>
      <c r="BF175" s="66">
        <f>BE175</f>
        <v>85.48</v>
      </c>
      <c r="BG175" s="352">
        <v>85.76</v>
      </c>
      <c r="BH175" s="352">
        <v>88.79</v>
      </c>
      <c r="BI175" s="42">
        <v>89.88</v>
      </c>
      <c r="BJ175" s="352">
        <v>94.84</v>
      </c>
      <c r="BK175" s="66">
        <f>BJ175</f>
        <v>94.84</v>
      </c>
      <c r="BL175" s="352">
        <v>94.66</v>
      </c>
      <c r="BM175" s="352">
        <v>95.83</v>
      </c>
      <c r="BN175" s="42"/>
      <c r="BO175" s="352"/>
      <c r="BP175" s="66">
        <f>BM175</f>
        <v>95.83</v>
      </c>
    </row>
    <row r="176" spans="1:68">
      <c r="B176" s="218"/>
      <c r="C176" s="3"/>
      <c r="G176" s="21"/>
      <c r="H176" s="20"/>
      <c r="L176" s="21"/>
      <c r="M176" s="20"/>
      <c r="Q176" s="21"/>
      <c r="R176" s="20"/>
      <c r="W176" s="20"/>
      <c r="AB176" s="20"/>
      <c r="AC176" s="335"/>
      <c r="AD176" s="335"/>
      <c r="AE176" s="335"/>
      <c r="AF176" s="335"/>
      <c r="AG176" s="20"/>
      <c r="AH176" s="335"/>
      <c r="AI176" s="335"/>
      <c r="AJ176" s="335"/>
      <c r="AK176" s="335"/>
      <c r="AL176" s="20"/>
      <c r="AM176" s="335"/>
      <c r="AN176" s="335"/>
      <c r="AO176" s="335"/>
      <c r="AP176" s="335"/>
      <c r="AQ176" s="20"/>
      <c r="AR176" s="335"/>
      <c r="AS176" s="335"/>
      <c r="AT176" s="335"/>
      <c r="AU176" s="335"/>
      <c r="AV176" s="20"/>
      <c r="AW176" s="335"/>
      <c r="AX176" s="335"/>
      <c r="AY176" s="335"/>
      <c r="AZ176" s="335"/>
      <c r="BA176" s="20"/>
      <c r="BB176" s="335"/>
      <c r="BC176" s="335"/>
      <c r="BD176" s="335"/>
      <c r="BE176" s="335"/>
      <c r="BF176" s="20"/>
      <c r="BG176" s="335"/>
      <c r="BH176" s="335"/>
      <c r="BI176" s="335"/>
      <c r="BJ176" s="335"/>
      <c r="BK176" s="20"/>
      <c r="BL176" s="335"/>
      <c r="BM176" s="335"/>
      <c r="BN176" s="335"/>
      <c r="BO176" s="335"/>
      <c r="BP176" s="20"/>
    </row>
    <row r="177" spans="2:68">
      <c r="B177" s="218">
        <v>8</v>
      </c>
      <c r="C177" s="2" t="s">
        <v>386</v>
      </c>
      <c r="G177" s="21"/>
      <c r="H177" s="20"/>
      <c r="L177" s="21"/>
      <c r="M177" s="20"/>
      <c r="Q177" s="21"/>
      <c r="R177" s="20"/>
      <c r="W177" s="20"/>
      <c r="AB177" s="20"/>
      <c r="AC177" s="335"/>
      <c r="AD177" s="335"/>
      <c r="AE177" s="335"/>
      <c r="AF177" s="335"/>
      <c r="AG177" s="20"/>
      <c r="AH177" s="335"/>
      <c r="AI177" s="335"/>
      <c r="AJ177" s="335"/>
      <c r="AK177" s="335"/>
      <c r="AL177" s="20"/>
      <c r="AM177" s="335"/>
      <c r="AN177" s="335"/>
      <c r="AO177" s="335"/>
      <c r="AP177" s="335"/>
      <c r="AQ177" s="20"/>
      <c r="AR177" s="335"/>
      <c r="AS177" s="335"/>
      <c r="AT177" s="335"/>
      <c r="AU177" s="335"/>
      <c r="AV177" s="20"/>
      <c r="AW177" s="335"/>
      <c r="AX177" s="335"/>
      <c r="AY177" s="335"/>
      <c r="AZ177" s="335"/>
      <c r="BA177" s="20"/>
      <c r="BB177" s="335"/>
      <c r="BC177" s="335"/>
      <c r="BD177" s="335"/>
      <c r="BE177" s="335"/>
      <c r="BF177" s="20"/>
      <c r="BG177" s="335"/>
      <c r="BH177" s="335"/>
      <c r="BI177" s="335"/>
      <c r="BJ177" s="335"/>
      <c r="BK177" s="20"/>
      <c r="BL177" s="335"/>
      <c r="BM177" s="335"/>
      <c r="BN177" s="335"/>
      <c r="BO177" s="335"/>
      <c r="BP177" s="20"/>
    </row>
    <row r="178" spans="2:68">
      <c r="B178" s="218"/>
      <c r="C178" s="3"/>
      <c r="G178" s="21"/>
      <c r="H178" s="20"/>
      <c r="L178" s="21"/>
      <c r="M178" s="20"/>
      <c r="Q178" s="21"/>
      <c r="R178" s="20"/>
      <c r="W178" s="20"/>
      <c r="AB178" s="20"/>
      <c r="AC178" s="335"/>
      <c r="AD178" s="335"/>
      <c r="AE178" s="335"/>
      <c r="AF178" s="335"/>
      <c r="AG178" s="20"/>
      <c r="AH178" s="335"/>
      <c r="AI178" s="335"/>
      <c r="AJ178" s="335"/>
      <c r="AK178" s="335"/>
      <c r="AL178" s="20"/>
      <c r="AM178" s="335"/>
      <c r="AN178" s="335"/>
      <c r="AO178" s="335"/>
      <c r="AP178" s="335"/>
      <c r="AQ178" s="20"/>
      <c r="AR178" s="335"/>
      <c r="AS178" s="335"/>
      <c r="AT178" s="335"/>
      <c r="AU178" s="335"/>
      <c r="AV178" s="20"/>
      <c r="AW178" s="335"/>
      <c r="AX178" s="335"/>
      <c r="AY178" s="335"/>
      <c r="AZ178" s="335"/>
      <c r="BA178" s="20"/>
      <c r="BB178" s="335"/>
      <c r="BC178" s="335"/>
      <c r="BD178" s="335"/>
      <c r="BE178" s="335"/>
      <c r="BF178" s="20"/>
      <c r="BG178" s="335"/>
      <c r="BH178" s="335"/>
      <c r="BI178" s="335"/>
      <c r="BJ178" s="335"/>
      <c r="BK178" s="20"/>
      <c r="BL178" s="335"/>
      <c r="BM178" s="335"/>
      <c r="BN178" s="335"/>
      <c r="BO178" s="335"/>
      <c r="BP178" s="20"/>
    </row>
    <row r="179" spans="2:68" s="26" customFormat="1">
      <c r="B179" s="219"/>
      <c r="C179" s="11" t="s">
        <v>387</v>
      </c>
      <c r="D179" s="8">
        <v>0.68</v>
      </c>
      <c r="E179" s="8">
        <v>0.68300000000000005</v>
      </c>
      <c r="F179" s="8">
        <v>0.68899999999999995</v>
      </c>
      <c r="G179" s="10">
        <v>0.70399999999999996</v>
      </c>
      <c r="H179" s="9">
        <v>0.68899999999999995</v>
      </c>
      <c r="I179" s="8">
        <v>0.70499999999999996</v>
      </c>
      <c r="J179" s="8">
        <v>0.70399999999999996</v>
      </c>
      <c r="K179" s="8">
        <v>0.69699999999999995</v>
      </c>
      <c r="L179" s="10">
        <v>0.69199999999999995</v>
      </c>
      <c r="M179" s="9">
        <v>0.69899999999999995</v>
      </c>
      <c r="N179" s="8">
        <v>0.69399999999999995</v>
      </c>
      <c r="O179" s="8">
        <v>0.69099999999999995</v>
      </c>
      <c r="P179" s="8">
        <v>0.69899999999999995</v>
      </c>
      <c r="Q179" s="10">
        <v>0.69899999999999995</v>
      </c>
      <c r="R179" s="9">
        <v>0.69599999999999995</v>
      </c>
      <c r="S179" s="8">
        <v>0.68700000000000006</v>
      </c>
      <c r="T179" s="8">
        <v>0.68</v>
      </c>
      <c r="U179" s="8">
        <v>0.67700000000000005</v>
      </c>
      <c r="V179" s="8">
        <v>0.66400000000000003</v>
      </c>
      <c r="W179" s="9">
        <v>0.67700000000000005</v>
      </c>
      <c r="X179" s="8">
        <v>0.67</v>
      </c>
      <c r="Y179" s="8">
        <v>0.67100000000000004</v>
      </c>
      <c r="Z179" s="8">
        <v>0.67300000000000004</v>
      </c>
      <c r="AA179" s="8">
        <v>0.67900000000000005</v>
      </c>
      <c r="AB179" s="9">
        <v>0.67300000000000004</v>
      </c>
      <c r="AC179" s="336">
        <v>0.67730212242038768</v>
      </c>
      <c r="AD179" s="336">
        <v>0.67500000000000004</v>
      </c>
      <c r="AE179" s="336">
        <v>0.67300000000000004</v>
      </c>
      <c r="AF179" s="336">
        <v>0.67600000000000005</v>
      </c>
      <c r="AG179" s="9">
        <v>0.67500000000000004</v>
      </c>
      <c r="AH179" s="336">
        <v>0.67100000000000004</v>
      </c>
      <c r="AI179" s="336">
        <v>0.65900000000000003</v>
      </c>
      <c r="AJ179" s="336">
        <v>0.66900000000000004</v>
      </c>
      <c r="AK179" s="336">
        <v>0.66200000000000003</v>
      </c>
      <c r="AL179" s="9">
        <v>0.66500000000000004</v>
      </c>
      <c r="AM179" s="336">
        <v>0.66500000000000004</v>
      </c>
      <c r="AN179" s="336">
        <v>0.66700000000000004</v>
      </c>
      <c r="AO179" s="336">
        <v>0.67200000000000004</v>
      </c>
      <c r="AP179" s="336">
        <v>0.66900000000000004</v>
      </c>
      <c r="AQ179" s="9">
        <v>0.66800000000000004</v>
      </c>
      <c r="AR179" s="336">
        <v>0.67600000000000005</v>
      </c>
      <c r="AS179" s="336">
        <v>0.68100000000000005</v>
      </c>
      <c r="AT179" s="336">
        <v>0.67600000000000005</v>
      </c>
      <c r="AU179" s="336">
        <v>0.66700000000000004</v>
      </c>
      <c r="AV179" s="9">
        <v>0.67500000000000004</v>
      </c>
      <c r="AW179" s="336">
        <v>0.66500000000000004</v>
      </c>
      <c r="AX179" s="8">
        <v>0.66900000000000004</v>
      </c>
      <c r="AY179" s="336">
        <v>0.65800000000000003</v>
      </c>
      <c r="AZ179" s="336">
        <v>0.65600000000000003</v>
      </c>
      <c r="BA179" s="9">
        <v>0.66200000000000003</v>
      </c>
      <c r="BB179" s="336">
        <v>0.64600000000000002</v>
      </c>
      <c r="BC179" s="8">
        <v>0.63600000000000001</v>
      </c>
      <c r="BD179" s="336">
        <v>0.64900000000000002</v>
      </c>
      <c r="BE179" s="336">
        <v>0.63700000000000001</v>
      </c>
      <c r="BF179" s="9">
        <v>0.64200000000000002</v>
      </c>
      <c r="BG179" s="336">
        <v>0.63800000000000001</v>
      </c>
      <c r="BH179" s="8">
        <v>0.626</v>
      </c>
      <c r="BI179" s="336">
        <v>0.62742731528335205</v>
      </c>
      <c r="BJ179" s="336">
        <v>0.624</v>
      </c>
      <c r="BK179" s="9">
        <v>0.629</v>
      </c>
      <c r="BL179" s="336">
        <v>0.63300000000000001</v>
      </c>
      <c r="BM179" s="8">
        <v>0.61799999999999999</v>
      </c>
      <c r="BN179" s="336"/>
      <c r="BO179" s="336"/>
      <c r="BP179" s="9">
        <v>0.625</v>
      </c>
    </row>
    <row r="180" spans="2:68" s="26" customFormat="1">
      <c r="B180" s="219"/>
      <c r="C180" s="11" t="s">
        <v>383</v>
      </c>
      <c r="D180" s="8">
        <v>5.8000000000000003E-2</v>
      </c>
      <c r="E180" s="8">
        <v>5.8999999999999997E-2</v>
      </c>
      <c r="F180" s="8">
        <v>5.8000000000000003E-2</v>
      </c>
      <c r="G180" s="10">
        <v>5.8999999999999997E-2</v>
      </c>
      <c r="H180" s="9">
        <v>5.8999999999999997E-2</v>
      </c>
      <c r="I180" s="8">
        <v>6.3E-2</v>
      </c>
      <c r="J180" s="8">
        <v>6.6000000000000003E-2</v>
      </c>
      <c r="K180" s="8">
        <v>6.7000000000000004E-2</v>
      </c>
      <c r="L180" s="10">
        <v>6.7000000000000004E-2</v>
      </c>
      <c r="M180" s="9">
        <v>6.6000000000000003E-2</v>
      </c>
      <c r="N180" s="8">
        <v>6.6000000000000003E-2</v>
      </c>
      <c r="O180" s="8">
        <v>0.06</v>
      </c>
      <c r="P180" s="8">
        <v>5.0999999999999997E-2</v>
      </c>
      <c r="Q180" s="10">
        <v>5.2999999999999999E-2</v>
      </c>
      <c r="R180" s="9">
        <v>5.8000000000000003E-2</v>
      </c>
      <c r="S180" s="8">
        <v>5.3999999999999999E-2</v>
      </c>
      <c r="T180" s="8">
        <v>5.2999999999999999E-2</v>
      </c>
      <c r="U180" s="8">
        <v>5.3999999999999999E-2</v>
      </c>
      <c r="V180" s="8">
        <v>5.1999999999999998E-2</v>
      </c>
      <c r="W180" s="9">
        <v>5.2999999999999999E-2</v>
      </c>
      <c r="X180" s="8">
        <v>4.9000000000000002E-2</v>
      </c>
      <c r="Y180" s="8">
        <v>4.9000000000000002E-2</v>
      </c>
      <c r="Z180" s="8">
        <v>5.0999999999999997E-2</v>
      </c>
      <c r="AA180" s="8">
        <v>5.0999999999999997E-2</v>
      </c>
      <c r="AB180" s="9">
        <v>0.05</v>
      </c>
      <c r="AC180" s="336">
        <v>4.9800967841190286E-2</v>
      </c>
      <c r="AD180" s="336">
        <v>4.9000000000000002E-2</v>
      </c>
      <c r="AE180" s="336">
        <v>4.9000000000000002E-2</v>
      </c>
      <c r="AF180" s="336">
        <v>0.05</v>
      </c>
      <c r="AG180" s="9">
        <v>4.9000000000000002E-2</v>
      </c>
      <c r="AH180" s="336">
        <v>4.7E-2</v>
      </c>
      <c r="AI180" s="336">
        <v>4.8000000000000001E-2</v>
      </c>
      <c r="AJ180" s="336">
        <v>4.2999999999999997E-2</v>
      </c>
      <c r="AK180" s="336">
        <v>4.7E-2</v>
      </c>
      <c r="AL180" s="9">
        <v>4.5999999999999999E-2</v>
      </c>
      <c r="AM180" s="336">
        <v>4.8000000000000001E-2</v>
      </c>
      <c r="AN180" s="336">
        <v>4.4999999999999998E-2</v>
      </c>
      <c r="AO180" s="336">
        <v>4.2999999999999997E-2</v>
      </c>
      <c r="AP180" s="336">
        <v>4.5999999999999999E-2</v>
      </c>
      <c r="AQ180" s="9">
        <v>4.4999999999999998E-2</v>
      </c>
      <c r="AR180" s="336">
        <v>4.4999999999999998E-2</v>
      </c>
      <c r="AS180" s="336">
        <v>4.2000000000000003E-2</v>
      </c>
      <c r="AT180" s="336">
        <v>4.4999999999999998E-2</v>
      </c>
      <c r="AU180" s="336">
        <v>4.3999999999999997E-2</v>
      </c>
      <c r="AV180" s="9">
        <v>4.3999999999999997E-2</v>
      </c>
      <c r="AW180" s="336">
        <v>4.2000000000000003E-2</v>
      </c>
      <c r="AX180" s="8">
        <v>3.9E-2</v>
      </c>
      <c r="AY180" s="336">
        <v>4.2999999999999997E-2</v>
      </c>
      <c r="AZ180" s="336">
        <v>0.04</v>
      </c>
      <c r="BA180" s="9">
        <v>4.1000000000000002E-2</v>
      </c>
      <c r="BB180" s="336">
        <v>3.6999999999999998E-2</v>
      </c>
      <c r="BC180" s="8">
        <v>3.6999999999999998E-2</v>
      </c>
      <c r="BD180" s="336">
        <v>3.7999999999999999E-2</v>
      </c>
      <c r="BE180" s="336">
        <v>0.04</v>
      </c>
      <c r="BF180" s="9">
        <v>3.7999999999999999E-2</v>
      </c>
      <c r="BG180" s="336">
        <v>4.2000000000000003E-2</v>
      </c>
      <c r="BH180" s="8">
        <v>4.2999999999999997E-2</v>
      </c>
      <c r="BI180" s="336">
        <v>4.8071998383437044E-2</v>
      </c>
      <c r="BJ180" s="336">
        <v>4.8000000000000001E-2</v>
      </c>
      <c r="BK180" s="9">
        <v>4.4999999999999998E-2</v>
      </c>
      <c r="BL180" s="336">
        <v>4.9000000000000002E-2</v>
      </c>
      <c r="BM180" s="8">
        <v>4.9000000000000002E-2</v>
      </c>
      <c r="BN180" s="336"/>
      <c r="BO180" s="336"/>
      <c r="BP180" s="9">
        <v>4.9000000000000002E-2</v>
      </c>
    </row>
    <row r="181" spans="2:68" s="26" customFormat="1">
      <c r="B181" s="219"/>
      <c r="C181" s="11" t="s">
        <v>388</v>
      </c>
      <c r="D181" s="8">
        <v>0.106</v>
      </c>
      <c r="E181" s="8">
        <v>0.104</v>
      </c>
      <c r="F181" s="8">
        <v>0.10299999999999999</v>
      </c>
      <c r="G181" s="10">
        <v>9.4E-2</v>
      </c>
      <c r="H181" s="9">
        <v>0.10199999999999999</v>
      </c>
      <c r="I181" s="8">
        <v>8.8999999999999996E-2</v>
      </c>
      <c r="J181" s="8">
        <v>9.5000000000000001E-2</v>
      </c>
      <c r="K181" s="8">
        <v>9.4E-2</v>
      </c>
      <c r="L181" s="10">
        <v>9.6000000000000002E-2</v>
      </c>
      <c r="M181" s="9">
        <v>9.2999999999999999E-2</v>
      </c>
      <c r="N181" s="8">
        <v>9.4E-2</v>
      </c>
      <c r="O181" s="8">
        <v>9.6000000000000002E-2</v>
      </c>
      <c r="P181" s="8">
        <v>0.1</v>
      </c>
      <c r="Q181" s="10">
        <v>0.09</v>
      </c>
      <c r="R181" s="9">
        <v>9.6000000000000002E-2</v>
      </c>
      <c r="S181" s="8">
        <v>0.10100000000000001</v>
      </c>
      <c r="T181" s="8">
        <v>0.108</v>
      </c>
      <c r="U181" s="8">
        <v>0.11700000000000001</v>
      </c>
      <c r="V181" s="8">
        <v>0.124</v>
      </c>
      <c r="W181" s="9">
        <v>0.113</v>
      </c>
      <c r="X181" s="8">
        <v>0.123</v>
      </c>
      <c r="Y181" s="8">
        <v>0.121</v>
      </c>
      <c r="Z181" s="8">
        <v>0.11700000000000001</v>
      </c>
      <c r="AA181" s="8">
        <v>0.11700000000000001</v>
      </c>
      <c r="AB181" s="9">
        <v>0.11899999999999999</v>
      </c>
      <c r="AC181" s="336">
        <v>0.11860971071318581</v>
      </c>
      <c r="AD181" s="336">
        <v>0.124</v>
      </c>
      <c r="AE181" s="336">
        <v>0.127</v>
      </c>
      <c r="AF181" s="336">
        <v>0.126</v>
      </c>
      <c r="AG181" s="9">
        <v>0.124</v>
      </c>
      <c r="AH181" s="336">
        <v>0.128</v>
      </c>
      <c r="AI181" s="336">
        <v>0.13500000000000001</v>
      </c>
      <c r="AJ181" s="336">
        <v>0.13300000000000001</v>
      </c>
      <c r="AK181" s="336">
        <v>0.13700000000000001</v>
      </c>
      <c r="AL181" s="9">
        <v>0.13400000000000001</v>
      </c>
      <c r="AM181" s="336">
        <v>0.13500000000000001</v>
      </c>
      <c r="AN181" s="336">
        <v>0.14000000000000001</v>
      </c>
      <c r="AO181" s="336">
        <v>0.13300000000000001</v>
      </c>
      <c r="AP181" s="336">
        <v>0.13400000000000001</v>
      </c>
      <c r="AQ181" s="9">
        <v>0.13500000000000001</v>
      </c>
      <c r="AR181" s="336">
        <v>0.13</v>
      </c>
      <c r="AS181" s="336">
        <v>0.126</v>
      </c>
      <c r="AT181" s="336">
        <v>0.13400000000000001</v>
      </c>
      <c r="AU181" s="336">
        <v>0.14899999999999999</v>
      </c>
      <c r="AV181" s="9">
        <v>0.13500000000000001</v>
      </c>
      <c r="AW181" s="336">
        <v>0.14299999999999999</v>
      </c>
      <c r="AX181" s="8">
        <v>0.14299999999999999</v>
      </c>
      <c r="AY181" s="336">
        <v>0.15</v>
      </c>
      <c r="AZ181" s="336">
        <v>0.156</v>
      </c>
      <c r="BA181" s="9">
        <v>0.14799999999999999</v>
      </c>
      <c r="BB181" s="336">
        <v>0.16</v>
      </c>
      <c r="BC181" s="8">
        <v>0.17599999999999999</v>
      </c>
      <c r="BD181" s="336">
        <v>0.16700000000000001</v>
      </c>
      <c r="BE181" s="336">
        <v>0.17</v>
      </c>
      <c r="BF181" s="9">
        <v>0.16800000000000001</v>
      </c>
      <c r="BG181" s="336">
        <v>0.17100000000000001</v>
      </c>
      <c r="BH181" s="8">
        <v>0.17599999999999999</v>
      </c>
      <c r="BI181" s="336">
        <v>0.17531756148624369</v>
      </c>
      <c r="BJ181" s="336">
        <v>0.17299999999999999</v>
      </c>
      <c r="BK181" s="9">
        <v>0.17399999999999999</v>
      </c>
      <c r="BL181" s="336">
        <v>0.17100000000000001</v>
      </c>
      <c r="BM181" s="8">
        <v>0.17199999999999999</v>
      </c>
      <c r="BN181" s="336"/>
      <c r="BO181" s="336"/>
      <c r="BP181" s="9">
        <v>0.17100000000000001</v>
      </c>
    </row>
    <row r="182" spans="2:68" s="26" customFormat="1">
      <c r="B182" s="219"/>
      <c r="C182" s="11" t="s">
        <v>381</v>
      </c>
      <c r="D182" s="8">
        <v>8.2000000000000003E-2</v>
      </c>
      <c r="E182" s="8">
        <v>8.2000000000000003E-2</v>
      </c>
      <c r="F182" s="8">
        <v>7.3999999999999996E-2</v>
      </c>
      <c r="G182" s="10">
        <v>6.6000000000000003E-2</v>
      </c>
      <c r="H182" s="9">
        <v>7.5999999999999998E-2</v>
      </c>
      <c r="I182" s="8">
        <v>7.2999999999999995E-2</v>
      </c>
      <c r="J182" s="8">
        <v>6.8000000000000005E-2</v>
      </c>
      <c r="K182" s="8">
        <v>6.6000000000000003E-2</v>
      </c>
      <c r="L182" s="10">
        <v>6.9000000000000006E-2</v>
      </c>
      <c r="M182" s="9">
        <v>6.9000000000000006E-2</v>
      </c>
      <c r="N182" s="8">
        <v>7.2999999999999995E-2</v>
      </c>
      <c r="O182" s="8">
        <v>7.4999999999999997E-2</v>
      </c>
      <c r="P182" s="8">
        <v>7.0999999999999994E-2</v>
      </c>
      <c r="Q182" s="10">
        <v>7.2999999999999995E-2</v>
      </c>
      <c r="R182" s="9">
        <v>7.2999999999999995E-2</v>
      </c>
      <c r="S182" s="8">
        <v>7.8E-2</v>
      </c>
      <c r="T182" s="8">
        <v>7.9000000000000001E-2</v>
      </c>
      <c r="U182" s="8">
        <v>7.2999999999999995E-2</v>
      </c>
      <c r="V182" s="8">
        <v>8.1000000000000003E-2</v>
      </c>
      <c r="W182" s="9">
        <v>7.8E-2</v>
      </c>
      <c r="X182" s="8">
        <v>8.3000000000000004E-2</v>
      </c>
      <c r="Y182" s="8">
        <v>8.5000000000000006E-2</v>
      </c>
      <c r="Z182" s="8">
        <v>7.8E-2</v>
      </c>
      <c r="AA182" s="8">
        <v>7.2999999999999995E-2</v>
      </c>
      <c r="AB182" s="9">
        <v>7.9000000000000001E-2</v>
      </c>
      <c r="AC182" s="336">
        <v>7.2989049058488173E-2</v>
      </c>
      <c r="AD182" s="336">
        <v>6.9000000000000006E-2</v>
      </c>
      <c r="AE182" s="336">
        <v>6.7000000000000004E-2</v>
      </c>
      <c r="AF182" s="336">
        <v>6.0999999999999999E-2</v>
      </c>
      <c r="AG182" s="9">
        <v>6.8000000000000005E-2</v>
      </c>
      <c r="AH182" s="336">
        <v>6.8000000000000005E-2</v>
      </c>
      <c r="AI182" s="336">
        <v>7.3999999999999996E-2</v>
      </c>
      <c r="AJ182" s="336">
        <v>6.7000000000000004E-2</v>
      </c>
      <c r="AK182" s="336">
        <v>6.6000000000000003E-2</v>
      </c>
      <c r="AL182" s="9">
        <v>6.9000000000000006E-2</v>
      </c>
      <c r="AM182" s="336">
        <v>6.8000000000000005E-2</v>
      </c>
      <c r="AN182" s="336">
        <v>6.4000000000000001E-2</v>
      </c>
      <c r="AO182" s="336">
        <v>5.8999999999999997E-2</v>
      </c>
      <c r="AP182" s="336">
        <v>5.8000000000000003E-2</v>
      </c>
      <c r="AQ182" s="9">
        <v>6.2E-2</v>
      </c>
      <c r="AR182" s="336">
        <v>6.3E-2</v>
      </c>
      <c r="AS182" s="336">
        <v>5.8000000000000003E-2</v>
      </c>
      <c r="AT182" s="336">
        <v>5.3999999999999999E-2</v>
      </c>
      <c r="AU182" s="336">
        <v>5.0999999999999997E-2</v>
      </c>
      <c r="AV182" s="9">
        <v>5.6000000000000001E-2</v>
      </c>
      <c r="AW182" s="336">
        <v>5.3999999999999999E-2</v>
      </c>
      <c r="AX182" s="8">
        <v>5.0999999999999997E-2</v>
      </c>
      <c r="AY182" s="336">
        <v>5.0999999999999997E-2</v>
      </c>
      <c r="AZ182" s="336">
        <v>4.4999999999999998E-2</v>
      </c>
      <c r="BA182" s="9">
        <v>0.05</v>
      </c>
      <c r="BB182" s="336">
        <v>0.05</v>
      </c>
      <c r="BC182" s="8">
        <v>4.9000000000000002E-2</v>
      </c>
      <c r="BD182" s="336">
        <v>4.2999999999999997E-2</v>
      </c>
      <c r="BE182" s="336">
        <v>4.2000000000000003E-2</v>
      </c>
      <c r="BF182" s="9">
        <v>4.5999999999999999E-2</v>
      </c>
      <c r="BG182" s="336">
        <v>4.5999999999999999E-2</v>
      </c>
      <c r="BH182" s="8">
        <v>4.7E-2</v>
      </c>
      <c r="BI182" s="336">
        <v>4.3379340091839989E-2</v>
      </c>
      <c r="BJ182" s="336">
        <v>4.7E-2</v>
      </c>
      <c r="BK182" s="9">
        <v>4.5999999999999999E-2</v>
      </c>
      <c r="BL182" s="336">
        <v>0.05</v>
      </c>
      <c r="BM182" s="8">
        <v>5.8000000000000003E-2</v>
      </c>
      <c r="BN182" s="336"/>
      <c r="BO182" s="336"/>
      <c r="BP182" s="9">
        <v>5.3999999999999999E-2</v>
      </c>
    </row>
    <row r="183" spans="2:68">
      <c r="B183" s="218"/>
      <c r="C183" s="3"/>
      <c r="G183" s="21"/>
      <c r="H183" s="20"/>
      <c r="L183" s="21"/>
      <c r="M183" s="20"/>
      <c r="Q183" s="21"/>
      <c r="R183" s="20"/>
      <c r="W183" s="20"/>
      <c r="AB183" s="20"/>
      <c r="AC183" s="335"/>
      <c r="AD183" s="335"/>
      <c r="AE183" s="335"/>
      <c r="AF183" s="335"/>
      <c r="AG183" s="20"/>
      <c r="AH183" s="335"/>
      <c r="AI183" s="335"/>
      <c r="AJ183" s="335"/>
      <c r="AK183" s="335"/>
      <c r="AL183" s="20"/>
      <c r="AM183" s="335"/>
      <c r="AN183" s="335"/>
      <c r="AO183" s="335"/>
      <c r="AP183" s="335"/>
      <c r="AQ183" s="20"/>
      <c r="AR183" s="335"/>
      <c r="AS183" s="335"/>
      <c r="AT183" s="335"/>
      <c r="AU183" s="335"/>
      <c r="AV183" s="20"/>
      <c r="AW183" s="335"/>
      <c r="AX183" s="335"/>
      <c r="AY183" s="335"/>
      <c r="AZ183" s="335"/>
      <c r="BA183" s="20"/>
      <c r="BB183" s="335"/>
      <c r="BC183" s="335"/>
      <c r="BD183" s="335"/>
      <c r="BE183" s="335"/>
      <c r="BF183" s="20"/>
      <c r="BG183" s="335"/>
      <c r="BH183" s="335"/>
      <c r="BI183" s="335"/>
      <c r="BJ183" s="335"/>
      <c r="BK183" s="20"/>
      <c r="BL183" s="335"/>
      <c r="BM183" s="335"/>
      <c r="BN183" s="335"/>
      <c r="BO183" s="335"/>
      <c r="BP183" s="20"/>
    </row>
    <row r="184" spans="2:68">
      <c r="B184" s="218">
        <v>9</v>
      </c>
      <c r="C184" s="65" t="s">
        <v>389</v>
      </c>
      <c r="D184" s="19">
        <v>67</v>
      </c>
      <c r="E184" s="19">
        <v>63</v>
      </c>
      <c r="F184" s="19">
        <v>61</v>
      </c>
      <c r="G184" s="29">
        <v>65</v>
      </c>
      <c r="H184" s="28">
        <v>65</v>
      </c>
      <c r="I184" s="19">
        <v>68</v>
      </c>
      <c r="J184" s="19">
        <v>64</v>
      </c>
      <c r="K184" s="19">
        <v>65</v>
      </c>
      <c r="L184" s="29">
        <v>66</v>
      </c>
      <c r="M184" s="28">
        <v>66</v>
      </c>
      <c r="N184" s="19">
        <v>66</v>
      </c>
      <c r="O184" s="19">
        <v>64</v>
      </c>
      <c r="P184" s="19">
        <v>69</v>
      </c>
      <c r="Q184" s="29">
        <v>68</v>
      </c>
      <c r="R184" s="28">
        <v>68</v>
      </c>
      <c r="S184" s="19">
        <v>68</v>
      </c>
      <c r="T184" s="19">
        <v>71</v>
      </c>
      <c r="U184" s="19">
        <v>70</v>
      </c>
      <c r="V184" s="19">
        <v>67</v>
      </c>
      <c r="W184" s="28">
        <v>67</v>
      </c>
      <c r="X184" s="19">
        <v>66</v>
      </c>
      <c r="Y184" s="19">
        <v>66</v>
      </c>
      <c r="Z184" s="19">
        <v>67</v>
      </c>
      <c r="AA184" s="19">
        <v>66</v>
      </c>
      <c r="AB184" s="28">
        <v>66</v>
      </c>
      <c r="AC184" s="333">
        <v>68</v>
      </c>
      <c r="AD184" s="333">
        <v>66</v>
      </c>
      <c r="AE184" s="333">
        <v>73</v>
      </c>
      <c r="AF184" s="333">
        <v>69</v>
      </c>
      <c r="AG184" s="28">
        <v>69</v>
      </c>
      <c r="AH184" s="333">
        <v>71</v>
      </c>
      <c r="AI184" s="333">
        <v>69</v>
      </c>
      <c r="AJ184" s="333">
        <v>73</v>
      </c>
      <c r="AK184" s="333">
        <v>71</v>
      </c>
      <c r="AL184" s="28">
        <v>71</v>
      </c>
      <c r="AM184" s="333">
        <v>70</v>
      </c>
      <c r="AN184" s="333">
        <v>66</v>
      </c>
      <c r="AO184" s="333">
        <v>71</v>
      </c>
      <c r="AP184" s="333">
        <v>67</v>
      </c>
      <c r="AQ184" s="28">
        <v>67</v>
      </c>
      <c r="AR184" s="333">
        <v>63</v>
      </c>
      <c r="AS184" s="333">
        <v>65</v>
      </c>
      <c r="AT184" s="333">
        <v>68</v>
      </c>
      <c r="AU184" s="333">
        <v>62</v>
      </c>
      <c r="AV184" s="28">
        <v>62</v>
      </c>
      <c r="AW184" s="333">
        <v>63</v>
      </c>
      <c r="AX184" s="333">
        <v>67</v>
      </c>
      <c r="AY184" s="333">
        <v>72</v>
      </c>
      <c r="AZ184" s="333">
        <v>71</v>
      </c>
      <c r="BA184" s="28">
        <f>AZ184</f>
        <v>71</v>
      </c>
      <c r="BB184" s="333">
        <v>72</v>
      </c>
      <c r="BC184" s="333">
        <v>73</v>
      </c>
      <c r="BD184" s="333">
        <v>74</v>
      </c>
      <c r="BE184" s="333">
        <v>69</v>
      </c>
      <c r="BF184" s="28">
        <v>69</v>
      </c>
      <c r="BG184" s="333">
        <v>70</v>
      </c>
      <c r="BH184" s="333">
        <v>71</v>
      </c>
      <c r="BI184" s="333">
        <v>74</v>
      </c>
      <c r="BJ184" s="333">
        <v>67</v>
      </c>
      <c r="BK184" s="28">
        <v>67</v>
      </c>
      <c r="BL184" s="333">
        <v>63</v>
      </c>
      <c r="BM184" s="333">
        <v>64</v>
      </c>
      <c r="BN184" s="333"/>
      <c r="BO184" s="333"/>
      <c r="BP184" s="28">
        <f>BM184</f>
        <v>64</v>
      </c>
    </row>
    <row r="185" spans="2:68">
      <c r="B185" s="218"/>
      <c r="C185" s="65"/>
      <c r="D185" s="19"/>
      <c r="E185" s="19"/>
      <c r="F185" s="19"/>
      <c r="G185" s="29"/>
      <c r="H185" s="28"/>
      <c r="I185" s="19"/>
      <c r="J185" s="19"/>
      <c r="K185" s="19"/>
      <c r="L185" s="29"/>
      <c r="M185" s="28"/>
      <c r="N185" s="19"/>
      <c r="O185" s="19"/>
      <c r="P185" s="19"/>
      <c r="Q185" s="29"/>
      <c r="R185" s="28"/>
      <c r="S185" s="19"/>
      <c r="T185" s="19"/>
      <c r="U185" s="19"/>
      <c r="V185" s="19"/>
      <c r="W185" s="28"/>
      <c r="X185" s="19"/>
      <c r="Y185" s="19"/>
      <c r="Z185" s="19"/>
      <c r="AA185" s="19"/>
      <c r="AB185" s="28"/>
      <c r="AC185" s="333"/>
      <c r="AD185" s="333"/>
      <c r="AE185" s="333"/>
      <c r="AF185" s="333"/>
      <c r="AG185" s="28"/>
      <c r="AH185" s="333"/>
      <c r="AI185" s="333"/>
      <c r="AJ185" s="333"/>
      <c r="AK185" s="333"/>
      <c r="AL185" s="28"/>
      <c r="AM185" s="333"/>
      <c r="AN185" s="333"/>
      <c r="AO185" s="333"/>
      <c r="AP185" s="333"/>
      <c r="AQ185" s="28"/>
      <c r="AR185" s="333"/>
      <c r="AS185" s="333"/>
      <c r="AT185" s="333"/>
      <c r="AU185" s="333"/>
      <c r="AV185" s="28"/>
      <c r="AW185" s="333"/>
      <c r="AX185" s="333"/>
      <c r="AY185" s="333"/>
      <c r="AZ185" s="333"/>
      <c r="BA185" s="28"/>
      <c r="BB185" s="333"/>
      <c r="BC185" s="333"/>
      <c r="BD185" s="333"/>
      <c r="BE185" s="333"/>
      <c r="BF185" s="28"/>
      <c r="BG185" s="333"/>
      <c r="BH185" s="333"/>
      <c r="BI185" s="333"/>
      <c r="BJ185" s="333"/>
      <c r="BK185" s="28"/>
      <c r="BL185" s="333"/>
      <c r="BM185" s="333"/>
      <c r="BN185" s="333"/>
      <c r="BO185" s="333"/>
      <c r="BP185" s="28"/>
    </row>
    <row r="186" spans="2:68" ht="12" hidden="1" customHeight="1">
      <c r="B186" s="218">
        <v>12</v>
      </c>
      <c r="C186" s="2" t="s">
        <v>390</v>
      </c>
      <c r="D186" s="5">
        <v>1.4999999999999999E-2</v>
      </c>
      <c r="E186" s="5">
        <v>3.9E-2</v>
      </c>
      <c r="F186" s="5">
        <v>2.5999999999999999E-2</v>
      </c>
      <c r="G186" s="41">
        <v>-4.0000000000000001E-3</v>
      </c>
      <c r="H186" s="6">
        <v>7.0999999999999994E-2</v>
      </c>
      <c r="I186" s="5">
        <v>4.3999999999999997E-2</v>
      </c>
      <c r="J186" s="5">
        <v>6.9000000000000006E-2</v>
      </c>
      <c r="K186" s="5">
        <v>1.0999999999999999E-2</v>
      </c>
      <c r="L186" s="41">
        <v>1.9E-2</v>
      </c>
      <c r="M186" s="6">
        <v>0.13300000000000001</v>
      </c>
      <c r="N186" s="5">
        <v>1.7000000000000001E-2</v>
      </c>
      <c r="O186" s="5">
        <v>3.9E-2</v>
      </c>
      <c r="P186" s="5">
        <v>-3.0000000000000001E-3</v>
      </c>
      <c r="Q186" s="41">
        <v>0</v>
      </c>
      <c r="R186" s="6">
        <v>8.3000000000000004E-2</v>
      </c>
      <c r="S186" s="5">
        <v>2.7E-2</v>
      </c>
      <c r="T186" s="5">
        <v>2.1999999999999999E-2</v>
      </c>
      <c r="U186" s="5">
        <v>8.0000000000000002E-3</v>
      </c>
      <c r="V186" s="5">
        <v>6.0000000000000001E-3</v>
      </c>
      <c r="W186" s="6">
        <v>5.8000000000000003E-2</v>
      </c>
      <c r="X186" s="5">
        <v>2.3E-2</v>
      </c>
      <c r="Y186" s="5">
        <v>4.2000000000000003E-2</v>
      </c>
      <c r="Z186" s="5">
        <v>2.7E-2</v>
      </c>
      <c r="AA186" s="5">
        <v>2.1000000000000001E-2</v>
      </c>
      <c r="AB186" s="6">
        <v>0.09</v>
      </c>
      <c r="AC186" s="337"/>
      <c r="AD186" s="337"/>
      <c r="AE186" s="337"/>
      <c r="AF186" s="337"/>
      <c r="AG186" s="6"/>
      <c r="AH186" s="337"/>
      <c r="AI186" s="337"/>
      <c r="AJ186" s="337"/>
      <c r="AK186" s="337"/>
      <c r="AL186" s="6"/>
      <c r="AM186" s="337"/>
      <c r="AN186" s="337"/>
      <c r="AO186" s="337"/>
      <c r="AP186" s="337"/>
      <c r="AQ186" s="6"/>
      <c r="AR186" s="337"/>
      <c r="AS186" s="337"/>
      <c r="AT186" s="337"/>
      <c r="AU186" s="337"/>
      <c r="AV186" s="6"/>
      <c r="AW186" s="337"/>
      <c r="AX186" s="337"/>
      <c r="AY186" s="337"/>
      <c r="AZ186" s="337"/>
      <c r="BA186" s="6"/>
      <c r="BB186" s="337"/>
      <c r="BC186" s="337"/>
      <c r="BD186" s="337"/>
      <c r="BE186" s="337"/>
      <c r="BF186" s="6"/>
      <c r="BG186" s="337"/>
      <c r="BH186" s="337"/>
      <c r="BI186" s="337"/>
      <c r="BJ186" s="337"/>
      <c r="BK186" s="6"/>
      <c r="BL186" s="337"/>
      <c r="BM186" s="337"/>
      <c r="BN186" s="337"/>
      <c r="BO186" s="337"/>
      <c r="BP186" s="6"/>
    </row>
    <row r="187" spans="2:68" ht="12" hidden="1" customHeight="1">
      <c r="B187" s="218" t="s">
        <v>295</v>
      </c>
      <c r="C187" s="54" t="s">
        <v>391</v>
      </c>
      <c r="G187" s="21"/>
      <c r="H187" s="20"/>
      <c r="L187" s="21"/>
      <c r="M187" s="20"/>
      <c r="Q187" s="21"/>
      <c r="R187" s="20"/>
      <c r="W187" s="20"/>
      <c r="AB187" s="20"/>
      <c r="AC187" s="335"/>
      <c r="AD187" s="335"/>
      <c r="AE187" s="335"/>
      <c r="AF187" s="335"/>
      <c r="AG187" s="20"/>
      <c r="AH187" s="335"/>
      <c r="AI187" s="335"/>
      <c r="AJ187" s="335"/>
      <c r="AK187" s="335"/>
      <c r="AL187" s="20"/>
      <c r="AM187" s="335"/>
      <c r="AN187" s="335"/>
      <c r="AO187" s="335"/>
      <c r="AP187" s="335"/>
      <c r="AQ187" s="20"/>
      <c r="AR187" s="335"/>
      <c r="AS187" s="335"/>
      <c r="AT187" s="335"/>
      <c r="AU187" s="335"/>
      <c r="AV187" s="20"/>
      <c r="AW187" s="335"/>
      <c r="AX187" s="335"/>
      <c r="AY187" s="335"/>
      <c r="AZ187" s="335"/>
      <c r="BA187" s="20"/>
      <c r="BB187" s="335"/>
      <c r="BC187" s="335"/>
      <c r="BD187" s="335"/>
      <c r="BE187" s="335"/>
      <c r="BF187" s="20"/>
      <c r="BG187" s="335"/>
      <c r="BH187" s="335"/>
      <c r="BI187" s="335"/>
      <c r="BJ187" s="335"/>
      <c r="BK187" s="20"/>
      <c r="BL187" s="335"/>
      <c r="BM187" s="335"/>
      <c r="BN187" s="335"/>
      <c r="BO187" s="335"/>
      <c r="BP187" s="20"/>
    </row>
    <row r="188" spans="2:68" s="26" customFormat="1" ht="12" hidden="1" customHeight="1">
      <c r="B188" s="219"/>
      <c r="C188" s="35" t="s">
        <v>297</v>
      </c>
      <c r="D188" s="8">
        <v>3.6999999999999998E-2</v>
      </c>
      <c r="E188" s="8">
        <v>3.2000000000000001E-2</v>
      </c>
      <c r="F188" s="8">
        <v>2.3E-2</v>
      </c>
      <c r="G188" s="10">
        <v>-4.0000000000000001E-3</v>
      </c>
      <c r="H188" s="9"/>
      <c r="I188" s="8">
        <v>5.0999999999999997E-2</v>
      </c>
      <c r="J188" s="8">
        <v>6.2E-2</v>
      </c>
      <c r="K188" s="8">
        <v>-5.0000000000000001E-3</v>
      </c>
      <c r="L188" s="10">
        <v>6.0000000000000001E-3</v>
      </c>
      <c r="M188" s="9"/>
      <c r="N188" s="8">
        <v>2.4E-2</v>
      </c>
      <c r="O188" s="8">
        <v>2.7E-2</v>
      </c>
      <c r="P188" s="8">
        <v>-6.0000000000000001E-3</v>
      </c>
      <c r="Q188" s="10">
        <v>1.2E-2</v>
      </c>
      <c r="R188" s="9"/>
      <c r="S188" s="8">
        <v>1.2999999999999999E-2</v>
      </c>
      <c r="T188" s="8">
        <v>1.9E-2</v>
      </c>
      <c r="U188" s="8">
        <v>7.0000000000000001E-3</v>
      </c>
      <c r="V188" s="8">
        <v>1E-3</v>
      </c>
      <c r="W188" s="9"/>
      <c r="X188" s="8">
        <v>0.02</v>
      </c>
      <c r="Y188" s="8">
        <v>3.7999999999999999E-2</v>
      </c>
      <c r="Z188" s="8">
        <v>2.5999999999999999E-2</v>
      </c>
      <c r="AA188" s="8">
        <v>3.6999999999999998E-2</v>
      </c>
      <c r="AB188" s="9"/>
      <c r="AC188" s="336" t="s">
        <v>266</v>
      </c>
      <c r="AD188" s="336" t="s">
        <v>266</v>
      </c>
      <c r="AE188" s="336"/>
      <c r="AF188" s="336"/>
      <c r="AG188" s="9"/>
      <c r="AH188" s="336"/>
      <c r="AI188" s="336"/>
      <c r="AJ188" s="336"/>
      <c r="AK188" s="336"/>
      <c r="AL188" s="9"/>
      <c r="AM188" s="336"/>
      <c r="AN188" s="336"/>
      <c r="AO188" s="336"/>
      <c r="AP188" s="336"/>
      <c r="AQ188" s="9"/>
      <c r="AR188" s="336"/>
      <c r="AS188" s="336"/>
      <c r="AT188" s="336"/>
      <c r="AU188" s="336"/>
      <c r="AV188" s="9"/>
      <c r="AW188" s="336"/>
      <c r="AX188" s="336"/>
      <c r="AY188" s="336"/>
      <c r="AZ188" s="336"/>
      <c r="BA188" s="9"/>
      <c r="BB188" s="336"/>
      <c r="BC188" s="336"/>
      <c r="BD188" s="336"/>
      <c r="BE188" s="336"/>
      <c r="BF188" s="9"/>
      <c r="BG188" s="336"/>
      <c r="BH188" s="336"/>
      <c r="BI188" s="336"/>
      <c r="BJ188" s="336"/>
      <c r="BK188" s="9"/>
      <c r="BL188" s="336"/>
      <c r="BM188" s="336"/>
      <c r="BN188" s="336"/>
      <c r="BO188" s="336"/>
      <c r="BP188" s="9"/>
    </row>
    <row r="189" spans="2:68" s="26" customFormat="1" ht="12" hidden="1" customHeight="1">
      <c r="B189" s="219"/>
      <c r="C189" s="35" t="s">
        <v>298</v>
      </c>
      <c r="D189" s="8">
        <v>-1.2999999999999999E-2</v>
      </c>
      <c r="E189" s="8">
        <v>6.5000000000000002E-2</v>
      </c>
      <c r="F189" s="8">
        <v>1.9E-2</v>
      </c>
      <c r="G189" s="10">
        <v>-3.0000000000000001E-3</v>
      </c>
      <c r="H189" s="9"/>
      <c r="I189" s="8">
        <v>7.0000000000000001E-3</v>
      </c>
      <c r="J189" s="8">
        <v>8.3000000000000004E-2</v>
      </c>
      <c r="K189" s="8">
        <v>3.9E-2</v>
      </c>
      <c r="L189" s="10">
        <v>3.5999999999999997E-2</v>
      </c>
      <c r="M189" s="9"/>
      <c r="N189" s="8">
        <v>-3.0000000000000001E-3</v>
      </c>
      <c r="O189" s="8">
        <v>3.6999999999999998E-2</v>
      </c>
      <c r="P189" s="8">
        <v>0.01</v>
      </c>
      <c r="Q189" s="10">
        <v>-1.6E-2</v>
      </c>
      <c r="R189" s="9"/>
      <c r="S189" s="8">
        <v>3.1E-2</v>
      </c>
      <c r="T189" s="8">
        <v>4.1000000000000002E-2</v>
      </c>
      <c r="U189" s="8">
        <v>4.7E-2</v>
      </c>
      <c r="V189" s="8">
        <v>-2E-3</v>
      </c>
      <c r="W189" s="9"/>
      <c r="X189" s="8">
        <v>2.1000000000000001E-2</v>
      </c>
      <c r="Y189" s="8">
        <v>0.04</v>
      </c>
      <c r="Z189" s="8">
        <v>3.7999999999999999E-2</v>
      </c>
      <c r="AA189" s="8">
        <v>1.4E-2</v>
      </c>
      <c r="AB189" s="9"/>
      <c r="AC189" s="336"/>
      <c r="AD189" s="336"/>
      <c r="AE189" s="336"/>
      <c r="AF189" s="336"/>
      <c r="AG189" s="9"/>
      <c r="AH189" s="336"/>
      <c r="AI189" s="336"/>
      <c r="AJ189" s="336"/>
      <c r="AK189" s="336"/>
      <c r="AL189" s="9"/>
      <c r="AM189" s="336"/>
      <c r="AN189" s="336"/>
      <c r="AO189" s="336"/>
      <c r="AP189" s="336"/>
      <c r="AQ189" s="9"/>
      <c r="AR189" s="336"/>
      <c r="AS189" s="336"/>
      <c r="AT189" s="336"/>
      <c r="AU189" s="336"/>
      <c r="AV189" s="9"/>
      <c r="AW189" s="336"/>
      <c r="AX189" s="336"/>
      <c r="AY189" s="336"/>
      <c r="AZ189" s="336"/>
      <c r="BA189" s="9"/>
      <c r="BB189" s="336"/>
      <c r="BC189" s="336"/>
      <c r="BD189" s="336"/>
      <c r="BE189" s="336"/>
      <c r="BF189" s="9"/>
      <c r="BG189" s="336"/>
      <c r="BH189" s="336"/>
      <c r="BI189" s="336"/>
      <c r="BJ189" s="336"/>
      <c r="BK189" s="9"/>
      <c r="BL189" s="336"/>
      <c r="BM189" s="336"/>
      <c r="BN189" s="336"/>
      <c r="BO189" s="336"/>
      <c r="BP189" s="9"/>
    </row>
    <row r="190" spans="2:68" s="26" customFormat="1" ht="12" hidden="1" customHeight="1">
      <c r="B190" s="219"/>
      <c r="C190" s="35" t="s">
        <v>299</v>
      </c>
      <c r="D190" s="8">
        <v>-8.8999999999999996E-2</v>
      </c>
      <c r="E190" s="8">
        <v>-0.04</v>
      </c>
      <c r="F190" s="8">
        <v>0.16700000000000001</v>
      </c>
      <c r="G190" s="10">
        <v>-0.04</v>
      </c>
      <c r="H190" s="9"/>
      <c r="I190" s="8">
        <v>-4.2999999999999997E-2</v>
      </c>
      <c r="J190" s="8">
        <v>0.121</v>
      </c>
      <c r="K190" s="8">
        <v>0.24299999999999999</v>
      </c>
      <c r="L190" s="10">
        <v>0.111</v>
      </c>
      <c r="M190" s="9"/>
      <c r="N190" s="8">
        <v>-8.2000000000000003E-2</v>
      </c>
      <c r="O190" s="8">
        <v>0.28699999999999998</v>
      </c>
      <c r="P190" s="8">
        <v>-1E-3</v>
      </c>
      <c r="Q190" s="10">
        <v>-6.9000000000000006E-2</v>
      </c>
      <c r="R190" s="9"/>
      <c r="S190" s="8">
        <v>0.112</v>
      </c>
      <c r="T190" s="8">
        <v>-5.0999999999999997E-2</v>
      </c>
      <c r="U190" s="8">
        <v>-5.8999999999999997E-2</v>
      </c>
      <c r="V190" s="26">
        <v>6.3E-2</v>
      </c>
      <c r="W190" s="9"/>
      <c r="X190" s="8">
        <v>5.2999999999999999E-2</v>
      </c>
      <c r="Y190" s="8">
        <v>6.8000000000000005E-2</v>
      </c>
      <c r="Z190" s="8">
        <v>8.0000000000000002E-3</v>
      </c>
      <c r="AA190" s="8">
        <v>-1.2999999999999999E-2</v>
      </c>
      <c r="AB190" s="9"/>
      <c r="AC190" s="336"/>
      <c r="AD190" s="336"/>
      <c r="AE190" s="336"/>
      <c r="AF190" s="336"/>
      <c r="AG190" s="9"/>
      <c r="AH190" s="336"/>
      <c r="AI190" s="336"/>
      <c r="AJ190" s="336"/>
      <c r="AK190" s="336"/>
      <c r="AL190" s="9"/>
      <c r="AM190" s="336"/>
      <c r="AN190" s="336"/>
      <c r="AO190" s="336"/>
      <c r="AP190" s="336"/>
      <c r="AQ190" s="9"/>
      <c r="AR190" s="336"/>
      <c r="AS190" s="336"/>
      <c r="AT190" s="336"/>
      <c r="AU190" s="336"/>
      <c r="AV190" s="9"/>
      <c r="AW190" s="336"/>
      <c r="AX190" s="336"/>
      <c r="AY190" s="336"/>
      <c r="AZ190" s="336"/>
      <c r="BA190" s="9"/>
      <c r="BB190" s="336"/>
      <c r="BC190" s="336"/>
      <c r="BD190" s="336"/>
      <c r="BE190" s="336"/>
      <c r="BF190" s="9"/>
      <c r="BG190" s="336"/>
      <c r="BH190" s="336"/>
      <c r="BI190" s="336"/>
      <c r="BJ190" s="336"/>
      <c r="BK190" s="9"/>
      <c r="BL190" s="336"/>
      <c r="BM190" s="336"/>
      <c r="BN190" s="336"/>
      <c r="BO190" s="336"/>
      <c r="BP190" s="9"/>
    </row>
    <row r="191" spans="2:68" s="26" customFormat="1" ht="12" hidden="1" customHeight="1">
      <c r="B191" s="219"/>
      <c r="C191" s="35" t="s">
        <v>300</v>
      </c>
      <c r="D191" s="8">
        <v>-8.0000000000000002E-3</v>
      </c>
      <c r="E191" s="8">
        <v>4.2000000000000003E-2</v>
      </c>
      <c r="F191" s="8">
        <v>3.4000000000000002E-2</v>
      </c>
      <c r="G191" s="10">
        <v>1E-3</v>
      </c>
      <c r="H191" s="9"/>
      <c r="I191" s="8">
        <v>9.9000000000000005E-2</v>
      </c>
      <c r="J191" s="8">
        <v>7.0999999999999994E-2</v>
      </c>
      <c r="K191" s="8">
        <v>-3.0000000000000001E-3</v>
      </c>
      <c r="L191" s="10">
        <v>3.2000000000000001E-2</v>
      </c>
      <c r="M191" s="9"/>
      <c r="N191" s="8">
        <v>4.9000000000000002E-2</v>
      </c>
      <c r="O191" s="8">
        <v>5.1999999999999998E-2</v>
      </c>
      <c r="P191" s="8">
        <v>-1.4999999999999999E-2</v>
      </c>
      <c r="Q191" s="10">
        <v>-1.2999999999999999E-2</v>
      </c>
      <c r="R191" s="9"/>
      <c r="S191" s="8">
        <v>6.9000000000000006E-2</v>
      </c>
      <c r="T191" s="8">
        <v>2.3E-2</v>
      </c>
      <c r="U191" s="8">
        <v>-0.04</v>
      </c>
      <c r="V191" s="8">
        <v>-4.9000000000000002E-2</v>
      </c>
      <c r="W191" s="9"/>
      <c r="X191" s="8">
        <v>-4.1000000000000002E-2</v>
      </c>
      <c r="Y191" s="8">
        <v>0.03</v>
      </c>
      <c r="Z191" s="8">
        <v>5.1999999999999998E-2</v>
      </c>
      <c r="AA191" s="8">
        <v>-9.0999999999999998E-2</v>
      </c>
      <c r="AB191" s="9"/>
      <c r="AC191" s="336"/>
      <c r="AD191" s="336"/>
      <c r="AE191" s="336"/>
      <c r="AF191" s="336"/>
      <c r="AG191" s="9"/>
      <c r="AH191" s="336"/>
      <c r="AI191" s="336"/>
      <c r="AJ191" s="336"/>
      <c r="AK191" s="336"/>
      <c r="AL191" s="9"/>
      <c r="AM191" s="336"/>
      <c r="AN191" s="336"/>
      <c r="AO191" s="336"/>
      <c r="AP191" s="336"/>
      <c r="AQ191" s="9"/>
      <c r="AR191" s="336"/>
      <c r="AS191" s="336"/>
      <c r="AT191" s="336"/>
      <c r="AU191" s="336"/>
      <c r="AV191" s="9"/>
      <c r="AW191" s="336"/>
      <c r="AX191" s="336"/>
      <c r="AY191" s="336"/>
      <c r="AZ191" s="336"/>
      <c r="BA191" s="9"/>
      <c r="BB191" s="336"/>
      <c r="BC191" s="336"/>
      <c r="BD191" s="336"/>
      <c r="BE191" s="336"/>
      <c r="BF191" s="9"/>
      <c r="BG191" s="336"/>
      <c r="BH191" s="336"/>
      <c r="BI191" s="336"/>
      <c r="BJ191" s="336"/>
      <c r="BK191" s="9"/>
      <c r="BL191" s="336"/>
      <c r="BM191" s="336"/>
      <c r="BN191" s="336"/>
      <c r="BO191" s="336"/>
      <c r="BP191" s="9"/>
    </row>
    <row r="192" spans="2:68" s="26" customFormat="1" ht="12" hidden="1" customHeight="1">
      <c r="B192" s="219"/>
      <c r="C192" s="35"/>
      <c r="D192" s="8"/>
      <c r="E192" s="8"/>
      <c r="F192" s="8"/>
      <c r="G192" s="10"/>
      <c r="H192" s="9"/>
      <c r="I192" s="8"/>
      <c r="J192" s="8"/>
      <c r="K192" s="8"/>
      <c r="L192" s="10"/>
      <c r="M192" s="9"/>
      <c r="N192" s="8"/>
      <c r="O192" s="8"/>
      <c r="P192" s="8"/>
      <c r="Q192" s="10"/>
      <c r="R192" s="9"/>
      <c r="S192" s="8"/>
      <c r="T192" s="8"/>
      <c r="U192" s="8"/>
      <c r="V192" s="8"/>
      <c r="W192" s="9"/>
      <c r="X192" s="8"/>
      <c r="Y192" s="8"/>
      <c r="Z192" s="8"/>
      <c r="AA192" s="8"/>
      <c r="AB192" s="9"/>
      <c r="AC192" s="336"/>
      <c r="AD192" s="336"/>
      <c r="AE192" s="336"/>
      <c r="AF192" s="336"/>
      <c r="AG192" s="9"/>
      <c r="AH192" s="336"/>
      <c r="AI192" s="336"/>
      <c r="AJ192" s="336"/>
      <c r="AK192" s="336"/>
      <c r="AL192" s="9"/>
      <c r="AM192" s="336"/>
      <c r="AN192" s="336"/>
      <c r="AO192" s="336"/>
      <c r="AP192" s="336"/>
      <c r="AQ192" s="9"/>
      <c r="AR192" s="336"/>
      <c r="AS192" s="336"/>
      <c r="AT192" s="336"/>
      <c r="AU192" s="336"/>
      <c r="AV192" s="9"/>
      <c r="AW192" s="336"/>
      <c r="AX192" s="336"/>
      <c r="AY192" s="336"/>
      <c r="AZ192" s="336"/>
      <c r="BA192" s="9"/>
      <c r="BB192" s="336"/>
      <c r="BC192" s="336"/>
      <c r="BD192" s="336"/>
      <c r="BE192" s="336"/>
      <c r="BF192" s="9"/>
      <c r="BG192" s="336"/>
      <c r="BH192" s="336"/>
      <c r="BI192" s="336"/>
      <c r="BJ192" s="336"/>
      <c r="BK192" s="9"/>
      <c r="BL192" s="336"/>
      <c r="BM192" s="336"/>
      <c r="BN192" s="336"/>
      <c r="BO192" s="336"/>
      <c r="BP192" s="9"/>
    </row>
    <row r="193" spans="2:68" s="26" customFormat="1" ht="12.75" hidden="1" customHeight="1">
      <c r="B193" s="219" t="s">
        <v>292</v>
      </c>
      <c r="C193" s="15" t="s">
        <v>392</v>
      </c>
      <c r="D193" s="8"/>
      <c r="E193" s="8"/>
      <c r="F193" s="8"/>
      <c r="G193" s="10"/>
      <c r="H193" s="9"/>
      <c r="I193" s="8"/>
      <c r="J193" s="8"/>
      <c r="K193" s="8"/>
      <c r="L193" s="10"/>
      <c r="M193" s="9"/>
      <c r="N193" s="8"/>
      <c r="O193" s="8"/>
      <c r="P193" s="8"/>
      <c r="Q193" s="10"/>
      <c r="R193" s="9"/>
      <c r="S193" s="8"/>
      <c r="T193" s="8"/>
      <c r="U193" s="8"/>
      <c r="V193" s="8"/>
      <c r="W193" s="9"/>
      <c r="X193" s="8"/>
      <c r="Y193" s="8"/>
      <c r="Z193" s="8"/>
      <c r="AA193" s="8"/>
      <c r="AB193" s="9"/>
      <c r="AC193" s="336"/>
      <c r="AD193" s="336"/>
      <c r="AE193" s="336"/>
      <c r="AF193" s="336"/>
      <c r="AG193" s="9"/>
      <c r="AH193" s="336"/>
      <c r="AI193" s="336"/>
      <c r="AJ193" s="336"/>
      <c r="AK193" s="336"/>
      <c r="AL193" s="9"/>
      <c r="AM193" s="336"/>
      <c r="AN193" s="336"/>
      <c r="AO193" s="336"/>
      <c r="AP193" s="336"/>
      <c r="AQ193" s="9"/>
      <c r="AR193" s="336"/>
      <c r="AS193" s="336"/>
      <c r="AT193" s="336"/>
      <c r="AU193" s="336"/>
      <c r="AV193" s="9"/>
      <c r="AW193" s="336"/>
      <c r="AX193" s="336"/>
      <c r="AY193" s="336"/>
      <c r="AZ193" s="336"/>
      <c r="BA193" s="9"/>
      <c r="BB193" s="336"/>
      <c r="BC193" s="336"/>
      <c r="BD193" s="336"/>
      <c r="BE193" s="336"/>
      <c r="BF193" s="9"/>
      <c r="BG193" s="336"/>
      <c r="BH193" s="336"/>
      <c r="BI193" s="336"/>
      <c r="BJ193" s="336"/>
      <c r="BK193" s="9"/>
      <c r="BL193" s="336"/>
      <c r="BM193" s="336"/>
      <c r="BN193" s="336"/>
      <c r="BO193" s="336"/>
      <c r="BP193" s="9"/>
    </row>
    <row r="194" spans="2:68" s="26" customFormat="1" ht="12.75" hidden="1" customHeight="1">
      <c r="B194" s="219"/>
      <c r="C194" s="72" t="s">
        <v>393</v>
      </c>
      <c r="D194" s="8">
        <v>0.01</v>
      </c>
      <c r="E194" s="8">
        <v>0.02</v>
      </c>
      <c r="F194" s="8">
        <v>0.04</v>
      </c>
      <c r="G194" s="10">
        <v>0.01</v>
      </c>
      <c r="H194" s="9"/>
      <c r="I194" s="8">
        <v>2.5999999999999999E-2</v>
      </c>
      <c r="J194" s="8">
        <v>6.4000000000000001E-2</v>
      </c>
      <c r="K194" s="8">
        <v>3.1E-2</v>
      </c>
      <c r="L194" s="10">
        <v>2E-3</v>
      </c>
      <c r="M194" s="9"/>
      <c r="N194" s="8">
        <v>1.7000000000000001E-2</v>
      </c>
      <c r="O194" s="8">
        <v>5.1999999999999998E-2</v>
      </c>
      <c r="P194" s="8">
        <v>2E-3</v>
      </c>
      <c r="Q194" s="10">
        <v>5.0000000000000001E-3</v>
      </c>
      <c r="R194" s="9"/>
      <c r="S194" s="8">
        <v>0.02</v>
      </c>
      <c r="T194" s="8">
        <v>2.5999999999999999E-2</v>
      </c>
      <c r="U194" s="8">
        <v>1E-3</v>
      </c>
      <c r="V194" s="8">
        <v>1E-3</v>
      </c>
      <c r="W194" s="9">
        <v>5.8999999999999997E-2</v>
      </c>
      <c r="X194" s="8"/>
      <c r="Y194" s="8"/>
      <c r="Z194" s="8"/>
      <c r="AA194" s="8"/>
      <c r="AB194" s="9"/>
      <c r="AC194" s="336"/>
      <c r="AD194" s="336"/>
      <c r="AE194" s="336"/>
      <c r="AF194" s="336"/>
      <c r="AG194" s="9"/>
      <c r="AH194" s="336"/>
      <c r="AI194" s="336"/>
      <c r="AJ194" s="336"/>
      <c r="AK194" s="336"/>
      <c r="AL194" s="9"/>
      <c r="AM194" s="336"/>
      <c r="AN194" s="336"/>
      <c r="AO194" s="336"/>
      <c r="AP194" s="336"/>
      <c r="AQ194" s="9"/>
      <c r="AR194" s="336"/>
      <c r="AS194" s="336"/>
      <c r="AT194" s="336"/>
      <c r="AU194" s="336"/>
      <c r="AV194" s="9"/>
      <c r="AW194" s="336"/>
      <c r="AX194" s="336"/>
      <c r="AY194" s="336"/>
      <c r="AZ194" s="336"/>
      <c r="BA194" s="9"/>
      <c r="BB194" s="336"/>
      <c r="BC194" s="336"/>
      <c r="BD194" s="336"/>
      <c r="BE194" s="336"/>
      <c r="BF194" s="9"/>
      <c r="BG194" s="336"/>
      <c r="BH194" s="336"/>
      <c r="BI194" s="336"/>
      <c r="BJ194" s="336"/>
      <c r="BK194" s="9"/>
      <c r="BL194" s="336"/>
      <c r="BM194" s="336"/>
      <c r="BN194" s="336"/>
      <c r="BO194" s="336"/>
      <c r="BP194" s="9"/>
    </row>
    <row r="195" spans="2:68" s="26" customFormat="1" ht="12.75" hidden="1" customHeight="1">
      <c r="B195" s="219"/>
      <c r="C195" s="72" t="s">
        <v>394</v>
      </c>
      <c r="D195" s="8">
        <v>2.5000000000000001E-2</v>
      </c>
      <c r="E195" s="8">
        <v>4.4999999999999998E-2</v>
      </c>
      <c r="F195" s="8">
        <v>2.9000000000000001E-2</v>
      </c>
      <c r="G195" s="10">
        <v>1.0999999999999999E-2</v>
      </c>
      <c r="H195" s="9"/>
      <c r="I195" s="8">
        <v>5.5E-2</v>
      </c>
      <c r="J195" s="8">
        <v>5.8000000000000003E-2</v>
      </c>
      <c r="K195" s="8">
        <v>-3.2000000000000001E-2</v>
      </c>
      <c r="L195" s="10">
        <v>8.0000000000000002E-3</v>
      </c>
      <c r="M195" s="9"/>
      <c r="N195" s="8">
        <v>2.4E-2</v>
      </c>
      <c r="O195" s="8">
        <v>2.1000000000000001E-2</v>
      </c>
      <c r="P195" s="8">
        <v>-5.0000000000000001E-3</v>
      </c>
      <c r="Q195" s="10">
        <v>-1.0897565259437858E-4</v>
      </c>
      <c r="R195" s="9"/>
      <c r="S195" s="8">
        <v>1.4999999999999999E-2</v>
      </c>
      <c r="T195" s="8">
        <v>1.2E-2</v>
      </c>
      <c r="U195" s="8">
        <v>-1E-3</v>
      </c>
      <c r="V195" s="8">
        <v>1.4999999999999999E-2</v>
      </c>
      <c r="W195" s="9">
        <v>3.1E-2</v>
      </c>
      <c r="X195" s="8"/>
      <c r="Y195" s="8"/>
      <c r="Z195" s="8"/>
      <c r="AA195" s="8"/>
      <c r="AB195" s="9"/>
      <c r="AC195" s="336"/>
      <c r="AD195" s="336"/>
      <c r="AE195" s="336"/>
      <c r="AF195" s="336"/>
      <c r="AG195" s="9"/>
      <c r="AH195" s="336"/>
      <c r="AI195" s="336"/>
      <c r="AJ195" s="336"/>
      <c r="AK195" s="336"/>
      <c r="AL195" s="9"/>
      <c r="AM195" s="336"/>
      <c r="AN195" s="336"/>
      <c r="AO195" s="336"/>
      <c r="AP195" s="336"/>
      <c r="AQ195" s="9"/>
      <c r="AR195" s="336"/>
      <c r="AS195" s="336"/>
      <c r="AT195" s="336"/>
      <c r="AU195" s="336"/>
      <c r="AV195" s="9"/>
      <c r="AW195" s="336"/>
      <c r="AX195" s="336"/>
      <c r="AY195" s="336"/>
      <c r="AZ195" s="336"/>
      <c r="BA195" s="9"/>
      <c r="BB195" s="336"/>
      <c r="BC195" s="336"/>
      <c r="BD195" s="336"/>
      <c r="BE195" s="336"/>
      <c r="BF195" s="9"/>
      <c r="BG195" s="336"/>
      <c r="BH195" s="336"/>
      <c r="BI195" s="336"/>
      <c r="BJ195" s="336"/>
      <c r="BK195" s="9"/>
      <c r="BL195" s="336"/>
      <c r="BM195" s="336"/>
      <c r="BN195" s="336"/>
      <c r="BO195" s="336"/>
      <c r="BP195" s="9"/>
    </row>
    <row r="196" spans="2:68" s="26" customFormat="1" ht="12.75" hidden="1" customHeight="1">
      <c r="B196" s="219"/>
      <c r="C196" s="72" t="s">
        <v>395</v>
      </c>
      <c r="D196" s="8">
        <v>0.02</v>
      </c>
      <c r="E196" s="8">
        <v>0.02</v>
      </c>
      <c r="F196" s="8">
        <v>2.3E-2</v>
      </c>
      <c r="G196" s="10">
        <v>-1.0999999999999999E-2</v>
      </c>
      <c r="H196" s="9"/>
      <c r="I196" s="8">
        <v>7.2999999999999995E-2</v>
      </c>
      <c r="J196" s="8">
        <v>8.2000000000000003E-2</v>
      </c>
      <c r="K196" s="8">
        <v>-1E-3</v>
      </c>
      <c r="L196" s="10">
        <v>2.7E-2</v>
      </c>
      <c r="M196" s="9"/>
      <c r="N196" s="8">
        <v>7.0000000000000001E-3</v>
      </c>
      <c r="O196" s="8">
        <v>1.2E-2</v>
      </c>
      <c r="P196" s="8">
        <v>-4.0000000000000001E-3</v>
      </c>
      <c r="Q196" s="10">
        <v>-3.0664950612312447E-2</v>
      </c>
      <c r="R196" s="9"/>
      <c r="S196" s="8">
        <v>2.5999999999999999E-2</v>
      </c>
      <c r="T196" s="8">
        <v>1.7000000000000001E-2</v>
      </c>
      <c r="U196" s="8">
        <v>1.2E-2</v>
      </c>
      <c r="V196" s="8">
        <v>-7.0000000000000001E-3</v>
      </c>
      <c r="W196" s="9">
        <v>0.02</v>
      </c>
      <c r="X196" s="8"/>
      <c r="Y196" s="8"/>
      <c r="Z196" s="8"/>
      <c r="AA196" s="8"/>
      <c r="AB196" s="9"/>
      <c r="AC196" s="336"/>
      <c r="AD196" s="336"/>
      <c r="AE196" s="336"/>
      <c r="AF196" s="336"/>
      <c r="AG196" s="9"/>
      <c r="AH196" s="336"/>
      <c r="AI196" s="336"/>
      <c r="AJ196" s="336"/>
      <c r="AK196" s="336"/>
      <c r="AL196" s="9"/>
      <c r="AM196" s="336"/>
      <c r="AN196" s="336"/>
      <c r="AO196" s="336"/>
      <c r="AP196" s="336"/>
      <c r="AQ196" s="9"/>
      <c r="AR196" s="336"/>
      <c r="AS196" s="336"/>
      <c r="AT196" s="336"/>
      <c r="AU196" s="336"/>
      <c r="AV196" s="9"/>
      <c r="AW196" s="336"/>
      <c r="AX196" s="336"/>
      <c r="AY196" s="336"/>
      <c r="AZ196" s="336"/>
      <c r="BA196" s="9"/>
      <c r="BB196" s="336"/>
      <c r="BC196" s="336"/>
      <c r="BD196" s="336"/>
      <c r="BE196" s="336"/>
      <c r="BF196" s="9"/>
      <c r="BG196" s="336"/>
      <c r="BH196" s="336"/>
      <c r="BI196" s="336"/>
      <c r="BJ196" s="336"/>
      <c r="BK196" s="9"/>
      <c r="BL196" s="336"/>
      <c r="BM196" s="336"/>
      <c r="BN196" s="336"/>
      <c r="BO196" s="336"/>
      <c r="BP196" s="9"/>
    </row>
    <row r="197" spans="2:68" s="26" customFormat="1" ht="12.75" hidden="1" customHeight="1">
      <c r="B197" s="219"/>
      <c r="C197" s="72" t="s">
        <v>396</v>
      </c>
      <c r="D197" s="8">
        <v>7.0000000000000001E-3</v>
      </c>
      <c r="E197" s="8">
        <v>8.7999999999999995E-2</v>
      </c>
      <c r="F197" s="8">
        <v>6.0000000000000001E-3</v>
      </c>
      <c r="G197" s="10">
        <v>-3.7999999999999999E-2</v>
      </c>
      <c r="H197" s="9"/>
      <c r="I197" s="8">
        <v>2.5000000000000001E-2</v>
      </c>
      <c r="J197" s="8">
        <v>7.8E-2</v>
      </c>
      <c r="K197" s="8">
        <v>4.5999999999999999E-2</v>
      </c>
      <c r="L197" s="10">
        <v>4.9000000000000002E-2</v>
      </c>
      <c r="M197" s="9"/>
      <c r="N197" s="8">
        <v>2.4E-2</v>
      </c>
      <c r="O197" s="8">
        <v>7.2999999999999995E-2</v>
      </c>
      <c r="P197" s="8">
        <v>-8.0000000000000002E-3</v>
      </c>
      <c r="Q197" s="10">
        <v>2.8000000000000001E-2</v>
      </c>
      <c r="R197" s="9"/>
      <c r="S197" s="8">
        <v>4.9000000000000002E-2</v>
      </c>
      <c r="T197" s="8">
        <v>0.03</v>
      </c>
      <c r="U197" s="8">
        <v>2.5000000000000001E-2</v>
      </c>
      <c r="V197" s="8">
        <v>1.7999999999999999E-2</v>
      </c>
      <c r="W197" s="9">
        <v>0.129</v>
      </c>
      <c r="X197" s="8"/>
      <c r="Y197" s="8"/>
      <c r="Z197" s="8"/>
      <c r="AA197" s="8"/>
      <c r="AB197" s="9"/>
      <c r="AC197" s="336"/>
      <c r="AD197" s="336"/>
      <c r="AE197" s="336"/>
      <c r="AF197" s="336"/>
      <c r="AG197" s="9"/>
      <c r="AH197" s="336"/>
      <c r="AI197" s="336"/>
      <c r="AJ197" s="336"/>
      <c r="AK197" s="336"/>
      <c r="AL197" s="9"/>
      <c r="AM197" s="336"/>
      <c r="AN197" s="336"/>
      <c r="AO197" s="336"/>
      <c r="AP197" s="336"/>
      <c r="AQ197" s="9"/>
      <c r="AR197" s="336"/>
      <c r="AS197" s="336"/>
      <c r="AT197" s="336"/>
      <c r="AU197" s="336"/>
      <c r="AV197" s="9"/>
      <c r="AW197" s="336"/>
      <c r="AX197" s="336"/>
      <c r="AY197" s="336"/>
      <c r="AZ197" s="336"/>
      <c r="BA197" s="9"/>
      <c r="BB197" s="336"/>
      <c r="BC197" s="336"/>
      <c r="BD197" s="336"/>
      <c r="BE197" s="336"/>
      <c r="BF197" s="9"/>
      <c r="BG197" s="336"/>
      <c r="BH197" s="336"/>
      <c r="BI197" s="336"/>
      <c r="BJ197" s="336"/>
      <c r="BK197" s="9"/>
      <c r="BL197" s="336"/>
      <c r="BM197" s="336"/>
      <c r="BN197" s="336"/>
      <c r="BO197" s="336"/>
      <c r="BP197" s="9"/>
    </row>
    <row r="198" spans="2:68" s="26" customFormat="1" ht="12.75" hidden="1" customHeight="1">
      <c r="B198" s="219"/>
      <c r="C198" s="72"/>
      <c r="D198" s="8"/>
      <c r="E198" s="8"/>
      <c r="F198" s="8"/>
      <c r="G198" s="10"/>
      <c r="H198" s="9"/>
      <c r="I198" s="8"/>
      <c r="J198" s="8"/>
      <c r="K198" s="8"/>
      <c r="L198" s="10"/>
      <c r="M198" s="9"/>
      <c r="N198" s="8"/>
      <c r="O198" s="8"/>
      <c r="P198" s="8"/>
      <c r="Q198" s="10"/>
      <c r="R198" s="9"/>
      <c r="S198" s="8"/>
      <c r="T198" s="8"/>
      <c r="U198" s="8"/>
      <c r="V198" s="8"/>
      <c r="W198" s="9"/>
      <c r="X198" s="8"/>
      <c r="Y198" s="8"/>
      <c r="Z198" s="8"/>
      <c r="AA198" s="8"/>
      <c r="AB198" s="9"/>
      <c r="AC198" s="336"/>
      <c r="AD198" s="336"/>
      <c r="AE198" s="336"/>
      <c r="AF198" s="336"/>
      <c r="AG198" s="9"/>
      <c r="AH198" s="336"/>
      <c r="AI198" s="336"/>
      <c r="AJ198" s="336"/>
      <c r="AK198" s="336"/>
      <c r="AL198" s="9"/>
      <c r="AM198" s="336"/>
      <c r="AN198" s="336"/>
      <c r="AO198" s="336"/>
      <c r="AP198" s="336"/>
      <c r="AQ198" s="9"/>
      <c r="AR198" s="336"/>
      <c r="AS198" s="336"/>
      <c r="AT198" s="336"/>
      <c r="AU198" s="336"/>
      <c r="AV198" s="9"/>
      <c r="AW198" s="336"/>
      <c r="AX198" s="336"/>
      <c r="AY198" s="336"/>
      <c r="AZ198" s="336"/>
      <c r="BA198" s="9"/>
      <c r="BB198" s="336"/>
      <c r="BC198" s="336"/>
      <c r="BD198" s="336"/>
      <c r="BE198" s="336"/>
      <c r="BF198" s="9"/>
      <c r="BG198" s="336"/>
      <c r="BH198" s="336"/>
      <c r="BI198" s="336"/>
      <c r="BJ198" s="336"/>
      <c r="BK198" s="9"/>
      <c r="BL198" s="336"/>
      <c r="BM198" s="336"/>
      <c r="BN198" s="336"/>
      <c r="BO198" s="336"/>
      <c r="BP198" s="9"/>
    </row>
    <row r="199" spans="2:68" s="26" customFormat="1" ht="12.75" hidden="1" customHeight="1">
      <c r="B199" s="219" t="s">
        <v>292</v>
      </c>
      <c r="C199" s="15" t="s">
        <v>397</v>
      </c>
      <c r="D199" s="8"/>
      <c r="E199" s="8"/>
      <c r="F199" s="8"/>
      <c r="G199" s="10"/>
      <c r="H199" s="9"/>
      <c r="I199" s="8"/>
      <c r="J199" s="8"/>
      <c r="K199" s="8"/>
      <c r="L199" s="10"/>
      <c r="M199" s="9"/>
      <c r="N199" s="8"/>
      <c r="O199" s="8"/>
      <c r="P199" s="8"/>
      <c r="Q199" s="10"/>
      <c r="R199" s="9"/>
      <c r="S199" s="8"/>
      <c r="T199" s="8"/>
      <c r="U199" s="8"/>
      <c r="V199" s="8"/>
      <c r="W199" s="9"/>
      <c r="X199" s="8"/>
      <c r="Y199" s="8"/>
      <c r="Z199" s="8"/>
      <c r="AA199" s="8"/>
      <c r="AB199" s="9"/>
      <c r="AC199" s="336"/>
      <c r="AD199" s="336"/>
      <c r="AE199" s="336"/>
      <c r="AF199" s="336"/>
      <c r="AG199" s="9"/>
      <c r="AH199" s="336"/>
      <c r="AI199" s="336"/>
      <c r="AJ199" s="336"/>
      <c r="AK199" s="336"/>
      <c r="AL199" s="9"/>
      <c r="AM199" s="336"/>
      <c r="AN199" s="336"/>
      <c r="AO199" s="336"/>
      <c r="AP199" s="336"/>
      <c r="AQ199" s="9"/>
      <c r="AR199" s="336"/>
      <c r="AS199" s="336"/>
      <c r="AT199" s="336"/>
      <c r="AU199" s="336"/>
      <c r="AV199" s="9"/>
      <c r="AW199" s="336"/>
      <c r="AX199" s="336"/>
      <c r="AY199" s="336"/>
      <c r="AZ199" s="336"/>
      <c r="BA199" s="9"/>
      <c r="BB199" s="336"/>
      <c r="BC199" s="336"/>
      <c r="BD199" s="336"/>
      <c r="BE199" s="336"/>
      <c r="BF199" s="9"/>
      <c r="BG199" s="336"/>
      <c r="BH199" s="336"/>
      <c r="BI199" s="336"/>
      <c r="BJ199" s="336"/>
      <c r="BK199" s="9"/>
      <c r="BL199" s="336"/>
      <c r="BM199" s="336"/>
      <c r="BN199" s="336"/>
      <c r="BO199" s="336"/>
      <c r="BP199" s="9"/>
    </row>
    <row r="200" spans="2:68" s="26" customFormat="1" ht="12.75" hidden="1" customHeight="1">
      <c r="B200" s="219"/>
      <c r="C200" s="35" t="s">
        <v>398</v>
      </c>
      <c r="D200" s="8"/>
      <c r="E200" s="8"/>
      <c r="F200" s="8"/>
      <c r="G200" s="10"/>
      <c r="H200" s="9"/>
      <c r="I200" s="8"/>
      <c r="J200" s="8"/>
      <c r="K200" s="8"/>
      <c r="L200" s="10"/>
      <c r="M200" s="9"/>
      <c r="N200" s="8"/>
      <c r="O200" s="8"/>
      <c r="P200" s="8"/>
      <c r="Q200" s="10"/>
      <c r="R200" s="9"/>
      <c r="S200" s="260"/>
      <c r="T200" s="260"/>
      <c r="U200" s="260"/>
      <c r="V200" s="260"/>
      <c r="W200" s="9"/>
      <c r="X200" s="8">
        <v>-2E-3</v>
      </c>
      <c r="Y200" s="8">
        <v>5.8000000000000003E-2</v>
      </c>
      <c r="Z200" s="8">
        <v>3.5999999999999997E-2</v>
      </c>
      <c r="AA200" s="8">
        <v>-8.0000000000000002E-3</v>
      </c>
      <c r="AB200" s="9"/>
      <c r="AC200" s="336" t="s">
        <v>266</v>
      </c>
      <c r="AD200" s="336" t="s">
        <v>266</v>
      </c>
      <c r="AE200" s="336"/>
      <c r="AF200" s="336"/>
      <c r="AG200" s="9"/>
      <c r="AH200" s="336"/>
      <c r="AI200" s="336"/>
      <c r="AJ200" s="336"/>
      <c r="AK200" s="336"/>
      <c r="AL200" s="9"/>
      <c r="AM200" s="336"/>
      <c r="AN200" s="336"/>
      <c r="AO200" s="336"/>
      <c r="AP200" s="336"/>
      <c r="AQ200" s="9"/>
      <c r="AR200" s="336"/>
      <c r="AS200" s="336"/>
      <c r="AT200" s="336"/>
      <c r="AU200" s="336"/>
      <c r="AV200" s="9"/>
      <c r="AW200" s="336"/>
      <c r="AX200" s="336"/>
      <c r="AY200" s="336"/>
      <c r="AZ200" s="336"/>
      <c r="BA200" s="9"/>
      <c r="BB200" s="336"/>
      <c r="BC200" s="336"/>
      <c r="BD200" s="336"/>
      <c r="BE200" s="336"/>
      <c r="BF200" s="9"/>
      <c r="BG200" s="336"/>
      <c r="BH200" s="336"/>
      <c r="BI200" s="336"/>
      <c r="BJ200" s="336"/>
      <c r="BK200" s="9"/>
      <c r="BL200" s="336"/>
      <c r="BM200" s="336"/>
      <c r="BN200" s="336"/>
      <c r="BO200" s="336"/>
      <c r="BP200" s="9"/>
    </row>
    <row r="201" spans="2:68" s="26" customFormat="1" ht="12.75" hidden="1" customHeight="1">
      <c r="B201" s="219"/>
      <c r="C201" s="35" t="s">
        <v>399</v>
      </c>
      <c r="D201" s="8"/>
      <c r="E201" s="8"/>
      <c r="F201" s="8"/>
      <c r="G201" s="10"/>
      <c r="H201" s="9"/>
      <c r="I201" s="8"/>
      <c r="J201" s="8"/>
      <c r="K201" s="8"/>
      <c r="L201" s="10"/>
      <c r="M201" s="9"/>
      <c r="N201" s="8"/>
      <c r="O201" s="8"/>
      <c r="P201" s="8"/>
      <c r="Q201" s="10"/>
      <c r="R201" s="9"/>
      <c r="S201" s="260"/>
      <c r="T201" s="260"/>
      <c r="U201" s="260"/>
      <c r="V201" s="260"/>
      <c r="W201" s="9"/>
      <c r="X201" s="8">
        <v>6.4000000000000001E-2</v>
      </c>
      <c r="Y201" s="8">
        <v>5.8999999999999997E-2</v>
      </c>
      <c r="Z201" s="8">
        <v>-1E-3</v>
      </c>
      <c r="AA201" s="8">
        <v>-8.9999999999999993E-3</v>
      </c>
      <c r="AB201" s="9"/>
      <c r="AC201" s="336"/>
      <c r="AD201" s="336"/>
      <c r="AE201" s="336"/>
      <c r="AF201" s="336"/>
      <c r="AG201" s="9"/>
      <c r="AH201" s="336"/>
      <c r="AI201" s="336"/>
      <c r="AJ201" s="336"/>
      <c r="AK201" s="336"/>
      <c r="AL201" s="9"/>
      <c r="AM201" s="336"/>
      <c r="AN201" s="336"/>
      <c r="AO201" s="336"/>
      <c r="AP201" s="336"/>
      <c r="AQ201" s="9"/>
      <c r="AR201" s="336"/>
      <c r="AS201" s="336"/>
      <c r="AT201" s="336"/>
      <c r="AU201" s="336"/>
      <c r="AV201" s="9"/>
      <c r="AW201" s="336"/>
      <c r="AX201" s="336"/>
      <c r="AY201" s="336"/>
      <c r="AZ201" s="336"/>
      <c r="BA201" s="9"/>
      <c r="BB201" s="336"/>
      <c r="BC201" s="336"/>
      <c r="BD201" s="336"/>
      <c r="BE201" s="336"/>
      <c r="BF201" s="9"/>
      <c r="BG201" s="336"/>
      <c r="BH201" s="336"/>
      <c r="BI201" s="336"/>
      <c r="BJ201" s="336"/>
      <c r="BK201" s="9"/>
      <c r="BL201" s="336"/>
      <c r="BM201" s="336"/>
      <c r="BN201" s="336"/>
      <c r="BO201" s="336"/>
      <c r="BP201" s="9"/>
    </row>
    <row r="202" spans="2:68" s="26" customFormat="1" ht="12.75" hidden="1" customHeight="1">
      <c r="B202" s="219"/>
      <c r="C202" s="35" t="s">
        <v>400</v>
      </c>
      <c r="D202" s="8"/>
      <c r="E202" s="8"/>
      <c r="F202" s="8"/>
      <c r="G202" s="10"/>
      <c r="H202" s="9"/>
      <c r="I202" s="8"/>
      <c r="J202" s="8"/>
      <c r="K202" s="8"/>
      <c r="L202" s="10"/>
      <c r="M202" s="9"/>
      <c r="N202" s="8"/>
      <c r="O202" s="8"/>
      <c r="P202" s="8"/>
      <c r="Q202" s="10"/>
      <c r="R202" s="9"/>
      <c r="S202" s="260"/>
      <c r="T202" s="260"/>
      <c r="U202" s="260"/>
      <c r="V202" s="260"/>
      <c r="W202" s="9"/>
      <c r="X202" s="8">
        <v>1.2999999999999999E-2</v>
      </c>
      <c r="Y202" s="8">
        <v>1.2E-2</v>
      </c>
      <c r="Z202" s="8">
        <v>-5.0000000000000001E-3</v>
      </c>
      <c r="AA202" s="8">
        <v>0.16600000000000001</v>
      </c>
      <c r="AB202" s="9"/>
      <c r="AC202" s="336"/>
      <c r="AD202" s="336"/>
      <c r="AE202" s="336"/>
      <c r="AF202" s="336"/>
      <c r="AG202" s="9"/>
      <c r="AH202" s="336"/>
      <c r="AI202" s="336"/>
      <c r="AJ202" s="336"/>
      <c r="AK202" s="336"/>
      <c r="AL202" s="9"/>
      <c r="AM202" s="336"/>
      <c r="AN202" s="336"/>
      <c r="AO202" s="336"/>
      <c r="AP202" s="336"/>
      <c r="AQ202" s="9"/>
      <c r="AR202" s="336"/>
      <c r="AS202" s="336"/>
      <c r="AT202" s="336"/>
      <c r="AU202" s="336"/>
      <c r="AV202" s="9"/>
      <c r="AW202" s="336"/>
      <c r="AX202" s="336"/>
      <c r="AY202" s="336"/>
      <c r="AZ202" s="336"/>
      <c r="BA202" s="9"/>
      <c r="BB202" s="336"/>
      <c r="BC202" s="336"/>
      <c r="BD202" s="336"/>
      <c r="BE202" s="336"/>
      <c r="BF202" s="9"/>
      <c r="BG202" s="336"/>
      <c r="BH202" s="336"/>
      <c r="BI202" s="336"/>
      <c r="BJ202" s="336"/>
      <c r="BK202" s="9"/>
      <c r="BL202" s="336"/>
      <c r="BM202" s="336"/>
      <c r="BN202" s="336"/>
      <c r="BO202" s="336"/>
      <c r="BP202" s="9"/>
    </row>
    <row r="203" spans="2:68" s="26" customFormat="1" ht="12.75" hidden="1" customHeight="1">
      <c r="B203" s="219"/>
      <c r="C203" s="35" t="s">
        <v>401</v>
      </c>
      <c r="D203" s="8"/>
      <c r="E203" s="8"/>
      <c r="F203" s="8"/>
      <c r="G203" s="10"/>
      <c r="H203" s="9"/>
      <c r="I203" s="8"/>
      <c r="J203" s="8"/>
      <c r="K203" s="8"/>
      <c r="L203" s="10"/>
      <c r="M203" s="9"/>
      <c r="N203" s="8"/>
      <c r="O203" s="8"/>
      <c r="P203" s="8"/>
      <c r="Q203" s="10"/>
      <c r="R203" s="9"/>
      <c r="S203" s="260"/>
      <c r="T203" s="260"/>
      <c r="U203" s="260"/>
      <c r="V203" s="260"/>
      <c r="W203" s="9"/>
      <c r="X203" s="8">
        <v>5.2999999999999999E-2</v>
      </c>
      <c r="Y203" s="8">
        <v>2.8000000000000001E-2</v>
      </c>
      <c r="Z203" s="8">
        <v>7.3999999999999996E-2</v>
      </c>
      <c r="AA203" s="8">
        <v>1.4999999999999999E-2</v>
      </c>
      <c r="AB203" s="9"/>
      <c r="AC203" s="336"/>
      <c r="AD203" s="336"/>
      <c r="AE203" s="336"/>
      <c r="AF203" s="336"/>
      <c r="AG203" s="9"/>
      <c r="AH203" s="336"/>
      <c r="AI203" s="336"/>
      <c r="AJ203" s="336"/>
      <c r="AK203" s="336"/>
      <c r="AL203" s="9"/>
      <c r="AM203" s="336"/>
      <c r="AN203" s="336"/>
      <c r="AO203" s="336"/>
      <c r="AP203" s="336"/>
      <c r="AQ203" s="9"/>
      <c r="AR203" s="336"/>
      <c r="AS203" s="336"/>
      <c r="AT203" s="336"/>
      <c r="AU203" s="336"/>
      <c r="AV203" s="9"/>
      <c r="AW203" s="336"/>
      <c r="AX203" s="336"/>
      <c r="AY203" s="336"/>
      <c r="AZ203" s="336"/>
      <c r="BA203" s="9"/>
      <c r="BB203" s="336"/>
      <c r="BC203" s="336"/>
      <c r="BD203" s="336"/>
      <c r="BE203" s="336"/>
      <c r="BF203" s="9"/>
      <c r="BG203" s="336"/>
      <c r="BH203" s="336"/>
      <c r="BI203" s="336"/>
      <c r="BJ203" s="336"/>
      <c r="BK203" s="9"/>
      <c r="BL203" s="336"/>
      <c r="BM203" s="336"/>
      <c r="BN203" s="336"/>
      <c r="BO203" s="336"/>
      <c r="BP203" s="9"/>
    </row>
    <row r="204" spans="2:68" s="26" customFormat="1" ht="12.75" hidden="1" customHeight="1">
      <c r="B204" s="219"/>
      <c r="C204" s="35" t="s">
        <v>402</v>
      </c>
      <c r="D204" s="8"/>
      <c r="E204" s="8"/>
      <c r="F204" s="8"/>
      <c r="G204" s="10"/>
      <c r="H204" s="9"/>
      <c r="I204" s="8"/>
      <c r="J204" s="8"/>
      <c r="K204" s="8"/>
      <c r="L204" s="10"/>
      <c r="M204" s="9"/>
      <c r="N204" s="8"/>
      <c r="O204" s="8"/>
      <c r="P204" s="8"/>
      <c r="Q204" s="10"/>
      <c r="R204" s="9"/>
      <c r="S204" s="260"/>
      <c r="T204" s="260"/>
      <c r="U204" s="260"/>
      <c r="V204" s="260"/>
      <c r="W204" s="9"/>
      <c r="X204" s="8">
        <v>2.5000000000000001E-2</v>
      </c>
      <c r="Y204" s="8">
        <v>4.8000000000000001E-2</v>
      </c>
      <c r="Z204" s="8">
        <v>7.5999999999999998E-2</v>
      </c>
      <c r="AA204" s="8">
        <v>1.6E-2</v>
      </c>
      <c r="AB204" s="9"/>
      <c r="AC204" s="336"/>
      <c r="AD204" s="336"/>
      <c r="AE204" s="336"/>
      <c r="AF204" s="336"/>
      <c r="AG204" s="9"/>
      <c r="AH204" s="336"/>
      <c r="AI204" s="336"/>
      <c r="AJ204" s="336"/>
      <c r="AK204" s="336"/>
      <c r="AL204" s="9"/>
      <c r="AM204" s="336"/>
      <c r="AN204" s="336"/>
      <c r="AO204" s="336"/>
      <c r="AP204" s="336"/>
      <c r="AQ204" s="9"/>
      <c r="AR204" s="336"/>
      <c r="AS204" s="336"/>
      <c r="AT204" s="336"/>
      <c r="AU204" s="336"/>
      <c r="AV204" s="9"/>
      <c r="AW204" s="336"/>
      <c r="AX204" s="336"/>
      <c r="AY204" s="336"/>
      <c r="AZ204" s="336"/>
      <c r="BA204" s="9"/>
      <c r="BB204" s="336"/>
      <c r="BC204" s="336"/>
      <c r="BD204" s="336"/>
      <c r="BE204" s="336"/>
      <c r="BF204" s="9"/>
      <c r="BG204" s="336"/>
      <c r="BH204" s="336"/>
      <c r="BI204" s="336"/>
      <c r="BJ204" s="336"/>
      <c r="BK204" s="9"/>
      <c r="BL204" s="336"/>
      <c r="BM204" s="336"/>
      <c r="BN204" s="336"/>
      <c r="BO204" s="336"/>
      <c r="BP204" s="9"/>
    </row>
    <row r="205" spans="2:68" s="26" customFormat="1" ht="12.75" hidden="1" customHeight="1">
      <c r="B205" s="219"/>
      <c r="C205" s="35" t="s">
        <v>403</v>
      </c>
      <c r="D205" s="8"/>
      <c r="E205" s="8"/>
      <c r="F205" s="8"/>
      <c r="G205" s="10"/>
      <c r="H205" s="9"/>
      <c r="I205" s="8"/>
      <c r="J205" s="8"/>
      <c r="K205" s="8"/>
      <c r="L205" s="10"/>
      <c r="M205" s="9"/>
      <c r="N205" s="8"/>
      <c r="O205" s="8"/>
      <c r="P205" s="8"/>
      <c r="Q205" s="10"/>
      <c r="R205" s="9"/>
      <c r="S205" s="260"/>
      <c r="T205" s="260"/>
      <c r="U205" s="260"/>
      <c r="V205" s="260"/>
      <c r="W205" s="9"/>
      <c r="X205" s="8">
        <v>1.7000000000000001E-2</v>
      </c>
      <c r="Y205" s="8">
        <v>3.5999999999999997E-2</v>
      </c>
      <c r="Z205" s="8">
        <v>6.0000000000000001E-3</v>
      </c>
      <c r="AA205" s="8">
        <v>6.9000000000000006E-2</v>
      </c>
      <c r="AB205" s="9"/>
      <c r="AC205" s="336"/>
      <c r="AD205" s="336"/>
      <c r="AE205" s="336"/>
      <c r="AF205" s="336"/>
      <c r="AG205" s="9"/>
      <c r="AH205" s="336"/>
      <c r="AI205" s="336"/>
      <c r="AJ205" s="336"/>
      <c r="AK205" s="336"/>
      <c r="AL205" s="9"/>
      <c r="AM205" s="336"/>
      <c r="AN205" s="336"/>
      <c r="AO205" s="336"/>
      <c r="AP205" s="336"/>
      <c r="AQ205" s="9"/>
      <c r="AR205" s="336"/>
      <c r="AS205" s="336"/>
      <c r="AT205" s="336"/>
      <c r="AU205" s="336"/>
      <c r="AV205" s="9"/>
      <c r="AW205" s="336"/>
      <c r="AX205" s="336"/>
      <c r="AY205" s="336"/>
      <c r="AZ205" s="336"/>
      <c r="BA205" s="9"/>
      <c r="BB205" s="336"/>
      <c r="BC205" s="336"/>
      <c r="BD205" s="336"/>
      <c r="BE205" s="336"/>
      <c r="BF205" s="9"/>
      <c r="BG205" s="336"/>
      <c r="BH205" s="336"/>
      <c r="BI205" s="336"/>
      <c r="BJ205" s="336"/>
      <c r="BK205" s="9"/>
      <c r="BL205" s="336"/>
      <c r="BM205" s="336"/>
      <c r="BN205" s="336"/>
      <c r="BO205" s="336"/>
      <c r="BP205" s="9"/>
    </row>
    <row r="206" spans="2:68" s="26" customFormat="1" ht="12.75" hidden="1" customHeight="1">
      <c r="B206" s="219"/>
      <c r="C206" s="35" t="s">
        <v>404</v>
      </c>
      <c r="D206" s="8"/>
      <c r="E206" s="8"/>
      <c r="F206" s="8"/>
      <c r="G206" s="10"/>
      <c r="H206" s="9"/>
      <c r="I206" s="8"/>
      <c r="J206" s="8"/>
      <c r="K206" s="8"/>
      <c r="L206" s="10"/>
      <c r="M206" s="9"/>
      <c r="N206" s="8"/>
      <c r="O206" s="8"/>
      <c r="P206" s="8"/>
      <c r="Q206" s="10"/>
      <c r="R206" s="9"/>
      <c r="S206" s="260"/>
      <c r="T206" s="260"/>
      <c r="U206" s="260"/>
      <c r="V206" s="260"/>
      <c r="W206" s="9"/>
      <c r="X206" s="8">
        <v>5.0000000000000001E-3</v>
      </c>
      <c r="Y206" s="8">
        <v>7.0000000000000001E-3</v>
      </c>
      <c r="Z206" s="8">
        <v>0</v>
      </c>
      <c r="AA206" s="8">
        <v>-1.9E-2</v>
      </c>
      <c r="AB206" s="9"/>
      <c r="AC206" s="336"/>
      <c r="AD206" s="336"/>
      <c r="AE206" s="336"/>
      <c r="AF206" s="336"/>
      <c r="AG206" s="9"/>
      <c r="AH206" s="336"/>
      <c r="AI206" s="336"/>
      <c r="AJ206" s="336"/>
      <c r="AK206" s="336"/>
      <c r="AL206" s="9"/>
      <c r="AM206" s="336"/>
      <c r="AN206" s="336"/>
      <c r="AO206" s="336"/>
      <c r="AP206" s="336"/>
      <c r="AQ206" s="9"/>
      <c r="AR206" s="336"/>
      <c r="AS206" s="336"/>
      <c r="AT206" s="336"/>
      <c r="AU206" s="336"/>
      <c r="AV206" s="9"/>
      <c r="AW206" s="336"/>
      <c r="AX206" s="336"/>
      <c r="AY206" s="336"/>
      <c r="AZ206" s="336"/>
      <c r="BA206" s="9"/>
      <c r="BB206" s="336"/>
      <c r="BC206" s="336"/>
      <c r="BD206" s="336"/>
      <c r="BE206" s="336"/>
      <c r="BF206" s="9"/>
      <c r="BG206" s="336"/>
      <c r="BH206" s="336"/>
      <c r="BI206" s="336"/>
      <c r="BJ206" s="336"/>
      <c r="BK206" s="9"/>
      <c r="BL206" s="336"/>
      <c r="BM206" s="336"/>
      <c r="BN206" s="336"/>
      <c r="BO206" s="336"/>
      <c r="BP206" s="9"/>
    </row>
    <row r="207" spans="2:68" s="26" customFormat="1" ht="12.75" hidden="1" customHeight="1">
      <c r="B207" s="219"/>
      <c r="C207" s="35" t="s">
        <v>405</v>
      </c>
      <c r="D207" s="8"/>
      <c r="E207" s="8"/>
      <c r="F207" s="8"/>
      <c r="G207" s="10"/>
      <c r="H207" s="9"/>
      <c r="I207" s="8"/>
      <c r="J207" s="8"/>
      <c r="K207" s="8"/>
      <c r="L207" s="10"/>
      <c r="M207" s="9"/>
      <c r="N207" s="8"/>
      <c r="O207" s="8"/>
      <c r="P207" s="8"/>
      <c r="Q207" s="10"/>
      <c r="R207" s="9"/>
      <c r="S207" s="260"/>
      <c r="T207" s="260"/>
      <c r="U207" s="260"/>
      <c r="V207" s="260"/>
      <c r="W207" s="9"/>
      <c r="X207" s="8">
        <v>0.04</v>
      </c>
      <c r="Y207" s="8">
        <v>3.7999999999999999E-2</v>
      </c>
      <c r="Z207" s="8">
        <v>-1.2999999999999999E-2</v>
      </c>
      <c r="AA207" s="8">
        <v>-5.2999999999999999E-2</v>
      </c>
      <c r="AB207" s="9"/>
      <c r="AC207" s="336"/>
      <c r="AD207" s="336"/>
      <c r="AE207" s="336"/>
      <c r="AF207" s="336"/>
      <c r="AG207" s="9"/>
      <c r="AH207" s="336"/>
      <c r="AI207" s="336"/>
      <c r="AJ207" s="336"/>
      <c r="AK207" s="336"/>
      <c r="AL207" s="9"/>
      <c r="AM207" s="336"/>
      <c r="AN207" s="336"/>
      <c r="AO207" s="336"/>
      <c r="AP207" s="336"/>
      <c r="AQ207" s="9"/>
      <c r="AR207" s="336"/>
      <c r="AS207" s="336"/>
      <c r="AT207" s="336"/>
      <c r="AU207" s="336"/>
      <c r="AV207" s="9"/>
      <c r="AW207" s="336"/>
      <c r="AX207" s="336"/>
      <c r="AY207" s="336"/>
      <c r="AZ207" s="336"/>
      <c r="BA207" s="9"/>
      <c r="BB207" s="336"/>
      <c r="BC207" s="336"/>
      <c r="BD207" s="336"/>
      <c r="BE207" s="336"/>
      <c r="BF207" s="9"/>
      <c r="BG207" s="336"/>
      <c r="BH207" s="336"/>
      <c r="BI207" s="336"/>
      <c r="BJ207" s="336"/>
      <c r="BK207" s="9"/>
      <c r="BL207" s="336"/>
      <c r="BM207" s="336"/>
      <c r="BN207" s="336"/>
      <c r="BO207" s="336"/>
      <c r="BP207" s="9"/>
    </row>
    <row r="208" spans="2:68" s="26" customFormat="1" ht="12.75" hidden="1" customHeight="1">
      <c r="B208" s="219"/>
      <c r="C208" s="72"/>
      <c r="D208" s="8"/>
      <c r="E208" s="8"/>
      <c r="F208" s="8"/>
      <c r="G208" s="10"/>
      <c r="H208" s="9"/>
      <c r="I208" s="8"/>
      <c r="J208" s="8"/>
      <c r="K208" s="8"/>
      <c r="L208" s="10"/>
      <c r="M208" s="9"/>
      <c r="N208" s="8"/>
      <c r="O208" s="8"/>
      <c r="P208" s="8"/>
      <c r="Q208" s="10"/>
      <c r="R208" s="9"/>
      <c r="S208" s="8"/>
      <c r="T208" s="8"/>
      <c r="U208" s="8"/>
      <c r="V208" s="8"/>
      <c r="W208" s="9"/>
      <c r="X208" s="8"/>
      <c r="Y208" s="8"/>
      <c r="Z208" s="8"/>
      <c r="AA208" s="8"/>
      <c r="AB208" s="9"/>
      <c r="AC208" s="336"/>
      <c r="AD208" s="336"/>
      <c r="AE208" s="336"/>
      <c r="AF208" s="336"/>
      <c r="AG208" s="9"/>
      <c r="AH208" s="336"/>
      <c r="AI208" s="336"/>
      <c r="AJ208" s="336"/>
      <c r="AK208" s="336"/>
      <c r="AL208" s="9"/>
      <c r="AM208" s="336"/>
      <c r="AN208" s="336"/>
      <c r="AO208" s="336"/>
      <c r="AP208" s="336"/>
      <c r="AQ208" s="9"/>
      <c r="AR208" s="336"/>
      <c r="AS208" s="336"/>
      <c r="AT208" s="336"/>
      <c r="AU208" s="336"/>
      <c r="AV208" s="9"/>
      <c r="AW208" s="336"/>
      <c r="AX208" s="336"/>
      <c r="AY208" s="336"/>
      <c r="AZ208" s="336"/>
      <c r="BA208" s="9"/>
      <c r="BB208" s="336"/>
      <c r="BC208" s="336"/>
      <c r="BD208" s="336"/>
      <c r="BE208" s="336"/>
      <c r="BF208" s="9"/>
      <c r="BG208" s="336"/>
      <c r="BH208" s="336"/>
      <c r="BI208" s="336"/>
      <c r="BJ208" s="336"/>
      <c r="BK208" s="9"/>
      <c r="BL208" s="336"/>
      <c r="BM208" s="336"/>
      <c r="BN208" s="336"/>
      <c r="BO208" s="336"/>
      <c r="BP208" s="9"/>
    </row>
    <row r="209" spans="2:68">
      <c r="B209" s="218">
        <v>10</v>
      </c>
      <c r="C209" s="2" t="s">
        <v>406</v>
      </c>
      <c r="D209" s="5"/>
      <c r="E209" s="5"/>
      <c r="F209" s="5"/>
      <c r="G209" s="41"/>
      <c r="H209" s="6"/>
      <c r="I209" s="5"/>
      <c r="J209" s="5"/>
      <c r="K209" s="5"/>
      <c r="L209" s="41"/>
      <c r="M209" s="6"/>
      <c r="N209" s="5"/>
      <c r="O209" s="5"/>
      <c r="P209" s="5"/>
      <c r="Q209" s="41"/>
      <c r="R209" s="6"/>
      <c r="S209" s="5"/>
      <c r="T209" s="5"/>
      <c r="U209" s="5"/>
      <c r="V209" s="5"/>
      <c r="W209" s="6"/>
      <c r="X209" s="5">
        <v>5.8999999999999997E-2</v>
      </c>
      <c r="Y209" s="337">
        <v>8.1000000000000003E-2</v>
      </c>
      <c r="Z209" s="337">
        <v>0.10100000000000001</v>
      </c>
      <c r="AA209" s="337">
        <v>0.11700000000000001</v>
      </c>
      <c r="AB209" s="6">
        <v>0.09</v>
      </c>
      <c r="AC209" s="337">
        <v>0.124</v>
      </c>
      <c r="AD209" s="337">
        <v>0.114</v>
      </c>
      <c r="AE209" s="337">
        <v>9.5000000000000001E-2</v>
      </c>
      <c r="AF209" s="337">
        <v>6.4000000000000001E-2</v>
      </c>
      <c r="AG209" s="6">
        <v>9.8000000000000004E-2</v>
      </c>
      <c r="AH209" s="337">
        <v>1.4999999999999999E-2</v>
      </c>
      <c r="AI209" s="337">
        <v>2.1999999999999999E-2</v>
      </c>
      <c r="AJ209" s="337">
        <v>6.6000000000000003E-2</v>
      </c>
      <c r="AK209" s="337">
        <v>9.6000000000000002E-2</v>
      </c>
      <c r="AL209" s="6">
        <v>0.05</v>
      </c>
      <c r="AM209" s="337">
        <v>0.16900000000000001</v>
      </c>
      <c r="AN209" s="337">
        <v>0.19400000000000001</v>
      </c>
      <c r="AO209" s="337">
        <v>0.215</v>
      </c>
      <c r="AP209" s="337">
        <v>0.20599999999999999</v>
      </c>
      <c r="AQ209" s="6">
        <v>0.19700000000000001</v>
      </c>
      <c r="AR209" s="337">
        <v>0.214</v>
      </c>
      <c r="AS209" s="337">
        <v>0.188</v>
      </c>
      <c r="AT209" s="337">
        <v>0.13700000000000001</v>
      </c>
      <c r="AU209" s="337">
        <v>8.7999999999999995E-2</v>
      </c>
      <c r="AV209" s="6">
        <v>0.154</v>
      </c>
      <c r="AW209" s="337">
        <v>4.2000000000000003E-2</v>
      </c>
      <c r="AX209" s="337">
        <v>2.5000000000000001E-2</v>
      </c>
      <c r="AY209" s="337">
        <v>-0.01</v>
      </c>
      <c r="AZ209" s="337">
        <v>0</v>
      </c>
      <c r="BA209" s="6">
        <v>1.4E-2</v>
      </c>
      <c r="BB209" s="337">
        <v>2.5000000000000001E-2</v>
      </c>
      <c r="BC209" s="337">
        <v>3.3000000000000002E-2</v>
      </c>
      <c r="BD209" s="337">
        <v>6.0999999999999999E-2</v>
      </c>
      <c r="BE209" s="337">
        <v>4.8000000000000001E-2</v>
      </c>
      <c r="BF209" s="6">
        <v>4.2000000000000003E-2</v>
      </c>
      <c r="BG209" s="337">
        <v>3.7999999999999999E-2</v>
      </c>
      <c r="BH209" s="337">
        <v>2.9000000000000001E-2</v>
      </c>
      <c r="BI209" s="337">
        <v>1.7000000000000001E-2</v>
      </c>
      <c r="BJ209" s="337">
        <v>4.1000000000000002E-2</v>
      </c>
      <c r="BK209" s="6">
        <v>3.1E-2</v>
      </c>
      <c r="BL209" s="337">
        <v>2.4E-2</v>
      </c>
      <c r="BM209" s="337">
        <v>1.4999999999999999E-2</v>
      </c>
      <c r="BN209" s="337"/>
      <c r="BO209" s="337"/>
      <c r="BP209" s="6">
        <v>1.9E-2</v>
      </c>
    </row>
    <row r="210" spans="2:68">
      <c r="B210" s="218" t="s">
        <v>295</v>
      </c>
      <c r="C210" s="289" t="s">
        <v>391</v>
      </c>
      <c r="G210" s="21"/>
      <c r="H210" s="20"/>
      <c r="L210" s="21"/>
      <c r="M210" s="20"/>
      <c r="Q210" s="21"/>
      <c r="R210" s="20"/>
      <c r="W210" s="20"/>
      <c r="X210" s="335"/>
      <c r="Y210" s="335"/>
      <c r="Z210" s="335"/>
      <c r="AA210" s="335"/>
      <c r="AB210" s="20"/>
      <c r="AC210" s="335"/>
      <c r="AD210" s="335"/>
      <c r="AE210" s="335"/>
      <c r="AF210" s="335"/>
      <c r="AG210" s="20"/>
      <c r="AH210" s="335"/>
      <c r="AI210" s="335"/>
      <c r="AJ210" s="335"/>
      <c r="AK210" s="335"/>
      <c r="AL210" s="20"/>
      <c r="AM210" s="335"/>
      <c r="AN210" s="335"/>
      <c r="AO210" s="335"/>
      <c r="AP210" s="335"/>
      <c r="AQ210" s="20"/>
      <c r="AR210" s="335"/>
      <c r="AS210" s="335"/>
      <c r="AT210" s="335"/>
      <c r="AU210" s="335"/>
      <c r="AV210" s="20"/>
      <c r="AW210" s="335"/>
      <c r="AX210" s="335"/>
      <c r="AY210" s="335" t="s">
        <v>407</v>
      </c>
      <c r="AZ210" s="335"/>
      <c r="BA210" s="20"/>
      <c r="BB210" s="335"/>
      <c r="BC210" s="335"/>
      <c r="BD210" s="335"/>
      <c r="BE210" s="335"/>
      <c r="BF210" s="20"/>
      <c r="BG210" s="335"/>
      <c r="BH210" s="335"/>
      <c r="BI210" s="335"/>
      <c r="BJ210" s="335"/>
      <c r="BK210" s="20"/>
      <c r="BL210" s="335"/>
      <c r="BM210" s="335"/>
      <c r="BN210" s="335"/>
      <c r="BO210" s="335"/>
      <c r="BP210" s="20"/>
    </row>
    <row r="211" spans="2:68" s="26" customFormat="1">
      <c r="B211" s="219"/>
      <c r="C211" s="35" t="s">
        <v>297</v>
      </c>
      <c r="D211" s="8">
        <v>3.6999999999999998E-2</v>
      </c>
      <c r="E211" s="8">
        <v>3.2000000000000001E-2</v>
      </c>
      <c r="F211" s="8">
        <v>2.3E-2</v>
      </c>
      <c r="G211" s="10">
        <v>-4.0000000000000001E-3</v>
      </c>
      <c r="H211" s="9"/>
      <c r="I211" s="8">
        <v>5.0999999999999997E-2</v>
      </c>
      <c r="J211" s="8">
        <v>6.2E-2</v>
      </c>
      <c r="K211" s="8">
        <v>-5.0000000000000001E-3</v>
      </c>
      <c r="L211" s="10">
        <v>6.0000000000000001E-3</v>
      </c>
      <c r="M211" s="9"/>
      <c r="N211" s="8">
        <v>2.4E-2</v>
      </c>
      <c r="O211" s="8">
        <v>2.7E-2</v>
      </c>
      <c r="P211" s="8">
        <v>-6.0000000000000001E-3</v>
      </c>
      <c r="Q211" s="10">
        <v>1.2E-2</v>
      </c>
      <c r="R211" s="9"/>
      <c r="S211" s="8">
        <v>1.2999999999999999E-2</v>
      </c>
      <c r="T211" s="8">
        <v>1.9E-2</v>
      </c>
      <c r="U211" s="8">
        <v>7.0000000000000001E-3</v>
      </c>
      <c r="V211" s="8">
        <v>1E-3</v>
      </c>
      <c r="W211" s="9"/>
      <c r="X211" s="336">
        <v>4.7E-2</v>
      </c>
      <c r="Y211" s="336">
        <v>6.7153406722014308E-2</v>
      </c>
      <c r="Z211" s="336">
        <v>8.7106896391278443E-2</v>
      </c>
      <c r="AA211" s="336">
        <v>0.12609772925616802</v>
      </c>
      <c r="AB211" s="9">
        <v>8.2032697328952686E-2</v>
      </c>
      <c r="AC211" s="336">
        <v>0.13500000000000001</v>
      </c>
      <c r="AD211" s="336">
        <v>0.11899999999999999</v>
      </c>
      <c r="AE211" s="336">
        <v>0.10100000000000001</v>
      </c>
      <c r="AF211" s="336">
        <v>5.5E-2</v>
      </c>
      <c r="AG211" s="9">
        <v>0.10199999999999999</v>
      </c>
      <c r="AH211" s="336">
        <v>0</v>
      </c>
      <c r="AI211" s="336">
        <v>1.9E-2</v>
      </c>
      <c r="AJ211" s="336">
        <v>8.7999999999999995E-2</v>
      </c>
      <c r="AK211" s="336">
        <v>0.123</v>
      </c>
      <c r="AL211" s="9">
        <v>5.8000000000000003E-2</v>
      </c>
      <c r="AM211" s="336">
        <v>0.21099999999999999</v>
      </c>
      <c r="AN211" s="336">
        <v>0.23100000000000001</v>
      </c>
      <c r="AO211" s="336">
        <v>0.214</v>
      </c>
      <c r="AP211" s="336">
        <v>0.185</v>
      </c>
      <c r="AQ211" s="9">
        <v>0.21</v>
      </c>
      <c r="AR211" s="336">
        <v>0.184</v>
      </c>
      <c r="AS211" s="336">
        <v>0.156</v>
      </c>
      <c r="AT211" s="336">
        <v>0.105</v>
      </c>
      <c r="AU211" s="336">
        <v>0.06</v>
      </c>
      <c r="AV211" s="9">
        <v>0.124</v>
      </c>
      <c r="AW211" s="336">
        <v>2.1000000000000001E-2</v>
      </c>
      <c r="AX211" s="8">
        <v>0.01</v>
      </c>
      <c r="AY211" s="336">
        <v>-4.9000000000000002E-2</v>
      </c>
      <c r="AZ211" s="336">
        <v>-2.1999999999999999E-2</v>
      </c>
      <c r="BA211" s="9">
        <v>-1.0999999999999999E-2</v>
      </c>
      <c r="BB211" s="336">
        <v>-1.2E-2</v>
      </c>
      <c r="BC211" s="8">
        <v>-2.7E-2</v>
      </c>
      <c r="BD211" s="336">
        <v>4.8000000000000001E-2</v>
      </c>
      <c r="BE211" s="336">
        <v>-4.0000000000000001E-3</v>
      </c>
      <c r="BF211" s="9">
        <v>1E-3</v>
      </c>
      <c r="BG211" s="336">
        <v>4.0000000000000001E-3</v>
      </c>
      <c r="BH211" s="8">
        <v>0.02</v>
      </c>
      <c r="BI211" s="336">
        <v>-0.01</v>
      </c>
      <c r="BJ211" s="336">
        <v>4.1000000000000002E-2</v>
      </c>
      <c r="BK211" s="9">
        <v>1.2999999999999999E-2</v>
      </c>
      <c r="BL211" s="336">
        <v>3.2000000000000001E-2</v>
      </c>
      <c r="BM211" s="8">
        <v>-1.4999999999999999E-2</v>
      </c>
      <c r="BN211" s="336"/>
      <c r="BO211" s="336"/>
      <c r="BP211" s="9">
        <v>8.0000000000000002E-3</v>
      </c>
    </row>
    <row r="212" spans="2:68" s="26" customFormat="1">
      <c r="B212" s="219"/>
      <c r="C212" s="35" t="s">
        <v>298</v>
      </c>
      <c r="D212" s="8">
        <v>-1.2999999999999999E-2</v>
      </c>
      <c r="E212" s="8">
        <v>6.5000000000000002E-2</v>
      </c>
      <c r="F212" s="8">
        <v>1.9E-2</v>
      </c>
      <c r="G212" s="10">
        <v>-3.0000000000000001E-3</v>
      </c>
      <c r="H212" s="9"/>
      <c r="I212" s="8">
        <v>7.0000000000000001E-3</v>
      </c>
      <c r="J212" s="8">
        <v>8.3000000000000004E-2</v>
      </c>
      <c r="K212" s="8">
        <v>3.9E-2</v>
      </c>
      <c r="L212" s="10">
        <v>3.5999999999999997E-2</v>
      </c>
      <c r="M212" s="9"/>
      <c r="N212" s="8">
        <v>-3.0000000000000001E-3</v>
      </c>
      <c r="O212" s="8">
        <v>3.6999999999999998E-2</v>
      </c>
      <c r="P212" s="8">
        <v>0.01</v>
      </c>
      <c r="Q212" s="10">
        <v>-1.6E-2</v>
      </c>
      <c r="R212" s="9"/>
      <c r="S212" s="8">
        <v>3.1E-2</v>
      </c>
      <c r="T212" s="8">
        <v>4.1000000000000002E-2</v>
      </c>
      <c r="U212" s="8">
        <v>4.7E-2</v>
      </c>
      <c r="V212" s="8">
        <v>-2E-3</v>
      </c>
      <c r="W212" s="9"/>
      <c r="X212" s="336">
        <v>0.109</v>
      </c>
      <c r="Y212" s="336">
        <v>0.10819378936355784</v>
      </c>
      <c r="Z212" s="336">
        <v>9.8461711548985864E-2</v>
      </c>
      <c r="AA212" s="336">
        <v>0.11623651085710596</v>
      </c>
      <c r="AB212" s="9">
        <v>0.10931524457946429</v>
      </c>
      <c r="AC212" s="336">
        <v>0.114</v>
      </c>
      <c r="AD212" s="336">
        <v>0.14599999999999999</v>
      </c>
      <c r="AE212" s="336">
        <v>0.12</v>
      </c>
      <c r="AF212" s="336">
        <v>9.6000000000000002E-2</v>
      </c>
      <c r="AG212" s="9">
        <v>0.11799999999999999</v>
      </c>
      <c r="AH212" s="336">
        <v>4.3999999999999997E-2</v>
      </c>
      <c r="AI212" s="336">
        <v>6.0000000000000001E-3</v>
      </c>
      <c r="AJ212" s="336">
        <v>1.2999999999999999E-2</v>
      </c>
      <c r="AK212" s="336">
        <v>5.0999999999999997E-2</v>
      </c>
      <c r="AL212" s="9">
        <v>2.8000000000000001E-2</v>
      </c>
      <c r="AM212" s="336">
        <v>0.122</v>
      </c>
      <c r="AN212" s="336">
        <v>0.19600000000000001</v>
      </c>
      <c r="AO212" s="336">
        <v>0.27200000000000002</v>
      </c>
      <c r="AP212" s="336">
        <v>0.28299999999999997</v>
      </c>
      <c r="AQ212" s="9">
        <v>0.22</v>
      </c>
      <c r="AR212" s="336">
        <v>0.33200000000000002</v>
      </c>
      <c r="AS212" s="336">
        <v>0.28499999999999998</v>
      </c>
      <c r="AT212" s="336">
        <v>0.253</v>
      </c>
      <c r="AU212" s="336">
        <v>0.20300000000000001</v>
      </c>
      <c r="AV212" s="9">
        <v>0.26300000000000001</v>
      </c>
      <c r="AW212" s="336">
        <v>0.10100000000000001</v>
      </c>
      <c r="AX212" s="8">
        <v>5.3999999999999999E-2</v>
      </c>
      <c r="AY212" s="336">
        <v>0.05</v>
      </c>
      <c r="AZ212" s="336">
        <v>4.9000000000000002E-2</v>
      </c>
      <c r="BA212" s="9">
        <v>6.3E-2</v>
      </c>
      <c r="BB212" s="336">
        <v>9.0999999999999998E-2</v>
      </c>
      <c r="BC212" s="8">
        <v>0.155</v>
      </c>
      <c r="BD212" s="336">
        <v>0.122</v>
      </c>
      <c r="BE212" s="336">
        <v>0.15</v>
      </c>
      <c r="BF212" s="9">
        <v>0.13</v>
      </c>
      <c r="BG212" s="336">
        <v>0.123</v>
      </c>
      <c r="BH212" s="8">
        <v>6.3E-2</v>
      </c>
      <c r="BI212" s="336">
        <v>7.1999999999999995E-2</v>
      </c>
      <c r="BJ212" s="336">
        <v>4.1000000000000002E-2</v>
      </c>
      <c r="BK212" s="9">
        <v>7.2999999999999995E-2</v>
      </c>
      <c r="BL212" s="336">
        <v>2.8000000000000001E-2</v>
      </c>
      <c r="BM212" s="8">
        <v>4.5999999999999999E-2</v>
      </c>
      <c r="BN212" s="336"/>
      <c r="BO212" s="336"/>
      <c r="BP212" s="9">
        <v>3.6999999999999998E-2</v>
      </c>
    </row>
    <row r="213" spans="2:68" s="26" customFormat="1">
      <c r="B213" s="219"/>
      <c r="C213" s="35" t="s">
        <v>299</v>
      </c>
      <c r="D213" s="8">
        <v>-8.8999999999999996E-2</v>
      </c>
      <c r="E213" s="8">
        <v>-0.04</v>
      </c>
      <c r="F213" s="8">
        <v>0.16700000000000001</v>
      </c>
      <c r="G213" s="10">
        <v>-0.04</v>
      </c>
      <c r="H213" s="9"/>
      <c r="I213" s="8">
        <v>-4.2999999999999997E-2</v>
      </c>
      <c r="J213" s="8">
        <v>0.121</v>
      </c>
      <c r="K213" s="8">
        <v>0.24299999999999999</v>
      </c>
      <c r="L213" s="10">
        <v>0.111</v>
      </c>
      <c r="M213" s="9"/>
      <c r="N213" s="8">
        <v>-8.2000000000000003E-2</v>
      </c>
      <c r="O213" s="8">
        <v>0.28699999999999998</v>
      </c>
      <c r="P213" s="8">
        <v>-1E-3</v>
      </c>
      <c r="Q213" s="10">
        <v>-6.9000000000000006E-2</v>
      </c>
      <c r="R213" s="9"/>
      <c r="S213" s="8">
        <v>0.112</v>
      </c>
      <c r="T213" s="8">
        <v>-5.0999999999999997E-2</v>
      </c>
      <c r="U213" s="8">
        <v>-5.8999999999999997E-2</v>
      </c>
      <c r="V213" s="26">
        <v>6.3E-2</v>
      </c>
      <c r="W213" s="9"/>
      <c r="X213" s="336">
        <v>9.8000000000000004E-2</v>
      </c>
      <c r="Y213" s="336">
        <v>0.14729736166186558</v>
      </c>
      <c r="Z213" s="336">
        <v>0.20256243483109682</v>
      </c>
      <c r="AA213" s="336">
        <v>0.11557514662678758</v>
      </c>
      <c r="AB213" s="9">
        <v>0.13878941084388896</v>
      </c>
      <c r="AC213" s="336">
        <v>0.11</v>
      </c>
      <c r="AD213" s="336">
        <v>1.9E-2</v>
      </c>
      <c r="AE213" s="336">
        <v>2E-3</v>
      </c>
      <c r="AF213" s="336">
        <v>1.7999999999999999E-2</v>
      </c>
      <c r="AG213" s="9">
        <v>3.6999999999999998E-2</v>
      </c>
      <c r="AH213" s="336">
        <v>-0.02</v>
      </c>
      <c r="AI213" s="336">
        <v>3.6999999999999998E-2</v>
      </c>
      <c r="AJ213" s="336">
        <v>6.0999999999999999E-2</v>
      </c>
      <c r="AK213" s="336">
        <v>-8.9999999999999993E-3</v>
      </c>
      <c r="AL213" s="9">
        <v>1.7999999999999999E-2</v>
      </c>
      <c r="AM213" s="336">
        <v>4.9000000000000002E-2</v>
      </c>
      <c r="AN213" s="336">
        <v>4.7E-2</v>
      </c>
      <c r="AO213" s="336">
        <v>6.7000000000000004E-2</v>
      </c>
      <c r="AP213" s="336">
        <v>0.13900000000000001</v>
      </c>
      <c r="AQ213" s="9">
        <v>7.3999999999999996E-2</v>
      </c>
      <c r="AR213" s="336">
        <v>0.17799999999999999</v>
      </c>
      <c r="AS213" s="336">
        <v>0.11899999999999999</v>
      </c>
      <c r="AT213" s="336">
        <v>0.11899999999999999</v>
      </c>
      <c r="AU213" s="336">
        <v>3.4000000000000002E-2</v>
      </c>
      <c r="AV213" s="9">
        <v>0.112</v>
      </c>
      <c r="AW213" s="336">
        <v>-5.0000000000000001E-3</v>
      </c>
      <c r="AX213" s="8">
        <v>3.9E-2</v>
      </c>
      <c r="AY213" s="336">
        <v>7.8E-2</v>
      </c>
      <c r="AZ213" s="336">
        <v>4.4999999999999998E-2</v>
      </c>
      <c r="BA213" s="9">
        <v>3.9E-2</v>
      </c>
      <c r="BB213" s="336">
        <v>2.3E-2</v>
      </c>
      <c r="BC213" s="8">
        <v>3.7999999999999999E-2</v>
      </c>
      <c r="BD213" s="336">
        <v>-0.111</v>
      </c>
      <c r="BE213" s="336">
        <v>-2.1999999999999999E-2</v>
      </c>
      <c r="BF213" s="9">
        <v>-0.02</v>
      </c>
      <c r="BG213" s="336">
        <v>4.0000000000000001E-3</v>
      </c>
      <c r="BH213" s="8">
        <v>-3.9E-2</v>
      </c>
      <c r="BI213" s="336">
        <v>2.5000000000000001E-2</v>
      </c>
      <c r="BJ213" s="336">
        <v>0.05</v>
      </c>
      <c r="BK213" s="9">
        <v>8.9999999999999993E-3</v>
      </c>
      <c r="BL213" s="336">
        <v>-1.6E-2</v>
      </c>
      <c r="BM213" s="8">
        <v>0.109</v>
      </c>
      <c r="BN213" s="336"/>
      <c r="BO213" s="336"/>
      <c r="BP213" s="9">
        <v>4.5999999999999999E-2</v>
      </c>
    </row>
    <row r="214" spans="2:68" s="26" customFormat="1">
      <c r="B214" s="219"/>
      <c r="C214" s="35" t="s">
        <v>300</v>
      </c>
      <c r="D214" s="8">
        <v>-8.0000000000000002E-3</v>
      </c>
      <c r="E214" s="8">
        <v>4.2000000000000003E-2</v>
      </c>
      <c r="F214" s="8">
        <v>3.4000000000000002E-2</v>
      </c>
      <c r="G214" s="10">
        <v>1E-3</v>
      </c>
      <c r="H214" s="9"/>
      <c r="I214" s="8">
        <v>9.9000000000000005E-2</v>
      </c>
      <c r="J214" s="8">
        <v>7.0999999999999994E-2</v>
      </c>
      <c r="K214" s="8">
        <v>-3.0000000000000001E-3</v>
      </c>
      <c r="L214" s="10">
        <v>3.2000000000000001E-2</v>
      </c>
      <c r="M214" s="9"/>
      <c r="N214" s="8">
        <v>4.9000000000000002E-2</v>
      </c>
      <c r="O214" s="8">
        <v>5.1999999999999998E-2</v>
      </c>
      <c r="P214" s="8">
        <v>-1.4999999999999999E-2</v>
      </c>
      <c r="Q214" s="10">
        <v>-1.2999999999999999E-2</v>
      </c>
      <c r="R214" s="9"/>
      <c r="S214" s="8">
        <v>6.9000000000000006E-2</v>
      </c>
      <c r="T214" s="8">
        <v>2.3E-2</v>
      </c>
      <c r="U214" s="8">
        <v>-0.04</v>
      </c>
      <c r="V214" s="8">
        <v>-4.9000000000000002E-2</v>
      </c>
      <c r="W214" s="9"/>
      <c r="X214" s="336">
        <v>-0.188</v>
      </c>
      <c r="Y214" s="336">
        <v>-0.11849315006253591</v>
      </c>
      <c r="Z214" s="336">
        <v>-1.6824430146179292E-2</v>
      </c>
      <c r="AA214" s="336">
        <v>-5.9342741133621701E-2</v>
      </c>
      <c r="AB214" s="9">
        <v>-9.935735882301322E-2</v>
      </c>
      <c r="AC214" s="336">
        <v>1.2E-2</v>
      </c>
      <c r="AD214" s="336">
        <v>0.17899999999999999</v>
      </c>
      <c r="AE214" s="336">
        <v>0.184</v>
      </c>
      <c r="AF214" s="336">
        <v>0.223</v>
      </c>
      <c r="AG214" s="9">
        <v>0.15</v>
      </c>
      <c r="AH214" s="336">
        <v>0.32800000000000001</v>
      </c>
      <c r="AI214" s="336">
        <v>0.20399999999999999</v>
      </c>
      <c r="AJ214" s="336">
        <v>4.2999999999999997E-2</v>
      </c>
      <c r="AK214" s="336">
        <v>0.308</v>
      </c>
      <c r="AL214" s="9">
        <v>0.21199999999999999</v>
      </c>
      <c r="AM214" s="336">
        <v>0.20699999999999999</v>
      </c>
      <c r="AN214" s="336">
        <v>4.2000000000000003E-2</v>
      </c>
      <c r="AO214" s="336">
        <v>0.40100000000000002</v>
      </c>
      <c r="AP214" s="336">
        <v>0.29399999999999998</v>
      </c>
      <c r="AQ214" s="9">
        <v>0.23400000000000001</v>
      </c>
      <c r="AR214" s="336">
        <v>5.8000000000000003E-2</v>
      </c>
      <c r="AS214" s="336">
        <v>0.36399999999999999</v>
      </c>
      <c r="AT214" s="336">
        <v>-5.3999999999999999E-2</v>
      </c>
      <c r="AU214" s="336">
        <v>-7.0999999999999994E-2</v>
      </c>
      <c r="AV214" s="9">
        <v>5.5E-2</v>
      </c>
      <c r="AW214" s="336">
        <v>0.13700000000000001</v>
      </c>
      <c r="AX214" s="8">
        <v>2.5999999999999999E-2</v>
      </c>
      <c r="AY214" s="336">
        <v>-0.01</v>
      </c>
      <c r="AZ214" s="336">
        <v>-0.154</v>
      </c>
      <c r="BA214" s="9">
        <v>-2E-3</v>
      </c>
      <c r="BB214" s="336">
        <v>0.19900000000000001</v>
      </c>
      <c r="BC214" s="8">
        <v>0.16</v>
      </c>
      <c r="BD214" s="336">
        <v>0.40100000000000002</v>
      </c>
      <c r="BE214" s="336">
        <v>0.437</v>
      </c>
      <c r="BF214" s="9">
        <v>0.28699999999999998</v>
      </c>
      <c r="BG214" s="336">
        <v>-0.01</v>
      </c>
      <c r="BH214" s="8">
        <v>6.8000000000000005E-2</v>
      </c>
      <c r="BI214" s="336">
        <v>-1.7999999999999999E-2</v>
      </c>
      <c r="BJ214" s="336">
        <v>0</v>
      </c>
      <c r="BK214" s="9">
        <v>0.01</v>
      </c>
      <c r="BL214" s="336">
        <v>-4.2000000000000003E-2</v>
      </c>
      <c r="BM214" s="8">
        <v>-3.5000000000000003E-2</v>
      </c>
      <c r="BN214" s="336"/>
      <c r="BO214" s="336"/>
      <c r="BP214" s="9">
        <v>-3.7999999999999999E-2</v>
      </c>
    </row>
    <row r="215" spans="2:68" s="26" customFormat="1" ht="12.75" customHeight="1">
      <c r="B215" s="219"/>
      <c r="C215" s="72"/>
      <c r="D215" s="8"/>
      <c r="E215" s="8"/>
      <c r="F215" s="8"/>
      <c r="G215" s="10"/>
      <c r="H215" s="9"/>
      <c r="I215" s="8"/>
      <c r="J215" s="8"/>
      <c r="K215" s="8"/>
      <c r="L215" s="10"/>
      <c r="M215" s="9"/>
      <c r="N215" s="8"/>
      <c r="O215" s="8"/>
      <c r="P215" s="8"/>
      <c r="Q215" s="10"/>
      <c r="R215" s="9"/>
      <c r="S215" s="8"/>
      <c r="T215" s="8"/>
      <c r="U215" s="8"/>
      <c r="V215" s="8"/>
      <c r="W215" s="9"/>
      <c r="X215" s="336"/>
      <c r="Y215" s="336"/>
      <c r="Z215" s="336"/>
      <c r="AA215" s="354"/>
      <c r="AB215" s="9"/>
      <c r="AC215" s="336"/>
      <c r="AD215" s="336"/>
      <c r="AE215" s="336"/>
      <c r="AF215" s="336"/>
      <c r="AG215" s="9"/>
      <c r="AH215" s="336"/>
      <c r="AI215" s="336"/>
      <c r="AJ215" s="336"/>
      <c r="AK215" s="336"/>
      <c r="AL215" s="9"/>
      <c r="AM215" s="336"/>
      <c r="AN215" s="336"/>
      <c r="AO215" s="336"/>
      <c r="AP215" s="336"/>
      <c r="AQ215" s="9"/>
      <c r="AR215" s="336"/>
      <c r="AS215" s="336"/>
      <c r="AT215" s="336"/>
      <c r="AU215" s="336"/>
      <c r="AV215" s="9"/>
      <c r="AW215" s="336"/>
      <c r="AX215" s="8"/>
      <c r="AY215" s="336"/>
      <c r="AZ215" s="336"/>
      <c r="BA215" s="9"/>
      <c r="BB215" s="336"/>
      <c r="BC215" s="8"/>
      <c r="BD215" s="336"/>
      <c r="BE215" s="336"/>
      <c r="BF215" s="9"/>
      <c r="BG215" s="336"/>
      <c r="BH215" s="8"/>
      <c r="BI215" s="336"/>
      <c r="BJ215" s="336"/>
      <c r="BK215" s="9"/>
      <c r="BL215" s="336"/>
      <c r="BM215" s="8"/>
      <c r="BN215" s="336"/>
      <c r="BO215" s="336"/>
      <c r="BP215" s="9"/>
    </row>
    <row r="216" spans="2:68" s="26" customFormat="1" ht="12.75" customHeight="1">
      <c r="B216" s="219" t="s">
        <v>292</v>
      </c>
      <c r="C216" s="36" t="s">
        <v>397</v>
      </c>
      <c r="D216" s="8"/>
      <c r="E216" s="8"/>
      <c r="F216" s="8"/>
      <c r="G216" s="10"/>
      <c r="H216" s="9"/>
      <c r="I216" s="8"/>
      <c r="J216" s="8"/>
      <c r="K216" s="8"/>
      <c r="L216" s="10"/>
      <c r="M216" s="9"/>
      <c r="N216" s="8"/>
      <c r="O216" s="8"/>
      <c r="P216" s="8"/>
      <c r="Q216" s="10"/>
      <c r="R216" s="9"/>
      <c r="S216" s="8"/>
      <c r="T216" s="8"/>
      <c r="U216" s="8"/>
      <c r="V216" s="8"/>
      <c r="W216" s="9"/>
      <c r="X216" s="336"/>
      <c r="Y216" s="336"/>
      <c r="Z216" s="336"/>
      <c r="AA216" s="354"/>
      <c r="AB216" s="9"/>
      <c r="AC216" s="336"/>
      <c r="AD216" s="336"/>
      <c r="AE216" s="336"/>
      <c r="AF216" s="336"/>
      <c r="AG216" s="9"/>
      <c r="AH216" s="336"/>
      <c r="AI216" s="336"/>
      <c r="AJ216" s="336"/>
      <c r="AK216" s="336"/>
      <c r="AL216" s="9"/>
      <c r="AM216" s="336"/>
      <c r="AN216" s="336"/>
      <c r="AO216" s="336"/>
      <c r="AP216" s="336"/>
      <c r="AQ216" s="9"/>
      <c r="AR216" s="336"/>
      <c r="AS216" s="336"/>
      <c r="AT216" s="336"/>
      <c r="AU216" s="336"/>
      <c r="AV216" s="9"/>
      <c r="AW216" s="336"/>
      <c r="AX216" s="8"/>
      <c r="AY216" s="336"/>
      <c r="AZ216" s="336"/>
      <c r="BA216" s="9"/>
      <c r="BB216" s="336"/>
      <c r="BC216" s="8"/>
      <c r="BD216" s="336"/>
      <c r="BE216" s="336"/>
      <c r="BF216" s="9"/>
      <c r="BG216" s="336"/>
      <c r="BH216" s="8"/>
      <c r="BI216" s="336"/>
      <c r="BJ216" s="336"/>
      <c r="BK216" s="9"/>
      <c r="BL216" s="336"/>
      <c r="BM216" s="8"/>
      <c r="BN216" s="336"/>
      <c r="BO216" s="336"/>
      <c r="BP216" s="9"/>
    </row>
    <row r="217" spans="2:68" s="26" customFormat="1" ht="13.5">
      <c r="B217" s="219"/>
      <c r="C217" s="74" t="s">
        <v>317</v>
      </c>
      <c r="D217" s="8"/>
      <c r="E217" s="8"/>
      <c r="F217" s="8"/>
      <c r="G217" s="10"/>
      <c r="H217" s="9"/>
      <c r="I217" s="8"/>
      <c r="J217" s="8"/>
      <c r="K217" s="8"/>
      <c r="L217" s="10"/>
      <c r="M217" s="9"/>
      <c r="N217" s="8"/>
      <c r="O217" s="8"/>
      <c r="P217" s="8"/>
      <c r="Q217" s="10"/>
      <c r="R217" s="9"/>
      <c r="S217" s="260"/>
      <c r="T217" s="260"/>
      <c r="U217" s="260"/>
      <c r="V217" s="260"/>
      <c r="W217" s="9"/>
      <c r="X217" s="336">
        <v>2.5000000000000001E-2</v>
      </c>
      <c r="Y217" s="336">
        <v>5.370083590041963E-2</v>
      </c>
      <c r="Z217" s="336">
        <v>9.3719423397165214E-2</v>
      </c>
      <c r="AA217" s="336">
        <v>8.4538235108467807E-2</v>
      </c>
      <c r="AB217" s="9">
        <v>6.4080201747683141E-2</v>
      </c>
      <c r="AC217" s="336">
        <v>0.113</v>
      </c>
      <c r="AD217" s="336">
        <v>0.10299999999999999</v>
      </c>
      <c r="AE217" s="336">
        <v>6.2E-2</v>
      </c>
      <c r="AF217" s="336">
        <v>5.7000000000000002E-2</v>
      </c>
      <c r="AG217" s="9">
        <v>8.2000000000000003E-2</v>
      </c>
      <c r="AH217" s="336">
        <v>2.1000000000000001E-2</v>
      </c>
      <c r="AI217" s="336">
        <v>2.9000000000000001E-2</v>
      </c>
      <c r="AJ217" s="336">
        <v>0.12</v>
      </c>
      <c r="AK217" s="336">
        <v>0.156</v>
      </c>
      <c r="AL217" s="9">
        <v>8.2000000000000003E-2</v>
      </c>
      <c r="AM217" s="336">
        <v>0.22600000000000001</v>
      </c>
      <c r="AN217" s="336">
        <v>0.20499999999999999</v>
      </c>
      <c r="AO217" s="336">
        <v>0.155</v>
      </c>
      <c r="AP217" s="336">
        <v>0.14099999999999999</v>
      </c>
      <c r="AQ217" s="9">
        <v>0.17799999999999999</v>
      </c>
      <c r="AR217" s="336">
        <v>0.121</v>
      </c>
      <c r="AS217" s="336">
        <v>0.115</v>
      </c>
      <c r="AT217" s="336">
        <v>5.5E-2</v>
      </c>
      <c r="AU217" s="336">
        <v>4.0000000000000001E-3</v>
      </c>
      <c r="AV217" s="9">
        <v>7.2999999999999995E-2</v>
      </c>
      <c r="AW217" s="336">
        <v>-4.2096693781166317E-2</v>
      </c>
      <c r="AX217" s="8">
        <v>-7.2999999999999995E-2</v>
      </c>
      <c r="AY217" s="336">
        <v>-5.8999999999999997E-2</v>
      </c>
      <c r="AZ217" s="336">
        <v>-8.5000000000000006E-2</v>
      </c>
      <c r="BA217" s="9">
        <v>-6.5000000000000002E-2</v>
      </c>
      <c r="BB217" s="336">
        <v>3.0000000000000001E-3</v>
      </c>
      <c r="BC217" s="8">
        <v>2.3E-2</v>
      </c>
      <c r="BD217" s="336">
        <v>6.0999999999999999E-2</v>
      </c>
      <c r="BE217" s="336">
        <v>0.126</v>
      </c>
      <c r="BF217" s="9">
        <v>5.1999999999999998E-2</v>
      </c>
      <c r="BG217" s="336">
        <v>5.6000000000000001E-2</v>
      </c>
      <c r="BH217" s="8">
        <v>5.3999999999999999E-2</v>
      </c>
      <c r="BI217" s="336">
        <v>3.9E-2</v>
      </c>
      <c r="BJ217" s="336">
        <v>2.9000000000000001E-2</v>
      </c>
      <c r="BK217" s="9">
        <v>4.3999999999999997E-2</v>
      </c>
      <c r="BL217" s="336">
        <v>2.4E-2</v>
      </c>
      <c r="BM217" s="8">
        <v>2.1000000000000001E-2</v>
      </c>
      <c r="BN217" s="336"/>
      <c r="BO217" s="336"/>
      <c r="BP217" s="9">
        <v>2.1999999999999999E-2</v>
      </c>
    </row>
    <row r="218" spans="2:68" s="26" customFormat="1" ht="12.75" customHeight="1">
      <c r="B218" s="219"/>
      <c r="C218" s="74" t="s">
        <v>318</v>
      </c>
      <c r="D218" s="8"/>
      <c r="E218" s="8"/>
      <c r="F218" s="8"/>
      <c r="G218" s="10"/>
      <c r="H218" s="9"/>
      <c r="I218" s="8"/>
      <c r="J218" s="8"/>
      <c r="K218" s="8"/>
      <c r="L218" s="10"/>
      <c r="M218" s="9"/>
      <c r="N218" s="8"/>
      <c r="O218" s="8"/>
      <c r="P218" s="8"/>
      <c r="Q218" s="10"/>
      <c r="R218" s="9"/>
      <c r="S218" s="260"/>
      <c r="T218" s="260"/>
      <c r="U218" s="260"/>
      <c r="V218" s="260"/>
      <c r="W218" s="9"/>
      <c r="X218" s="336">
        <v>0.08</v>
      </c>
      <c r="Y218" s="336">
        <v>0.10703276788147198</v>
      </c>
      <c r="Z218" s="336">
        <v>0.16174436679574367</v>
      </c>
      <c r="AA218" s="336">
        <v>0.1736503438479291</v>
      </c>
      <c r="AB218" s="9">
        <v>0.13210345448032546</v>
      </c>
      <c r="AC218" s="336">
        <v>0.128</v>
      </c>
      <c r="AD218" s="336">
        <v>0.16900000000000001</v>
      </c>
      <c r="AE218" s="336">
        <v>0.11799999999999999</v>
      </c>
      <c r="AF218" s="336">
        <v>7.3999999999999996E-2</v>
      </c>
      <c r="AG218" s="9">
        <v>0.122</v>
      </c>
      <c r="AH218" s="336">
        <v>3.0000000000000001E-3</v>
      </c>
      <c r="AI218" s="336">
        <v>-8.2000000000000003E-2</v>
      </c>
      <c r="AJ218" s="336">
        <v>-4.1000000000000002E-2</v>
      </c>
      <c r="AK218" s="336">
        <v>3.4000000000000002E-2</v>
      </c>
      <c r="AL218" s="9">
        <v>-2.1000000000000001E-2</v>
      </c>
      <c r="AM218" s="336">
        <v>0.185</v>
      </c>
      <c r="AN218" s="336">
        <v>0.42499999999999999</v>
      </c>
      <c r="AO218" s="336">
        <v>0.48399999999999999</v>
      </c>
      <c r="AP218" s="336">
        <v>0.50600000000000001</v>
      </c>
      <c r="AQ218" s="9">
        <v>0.40400000000000003</v>
      </c>
      <c r="AR218" s="336">
        <v>0.55200000000000005</v>
      </c>
      <c r="AS218" s="336">
        <v>0.45</v>
      </c>
      <c r="AT218" s="336">
        <v>0.36799999999999999</v>
      </c>
      <c r="AU218" s="336">
        <v>0.26500000000000001</v>
      </c>
      <c r="AV218" s="9">
        <v>0.38800000000000001</v>
      </c>
      <c r="AW218" s="336">
        <v>0.20749932076771493</v>
      </c>
      <c r="AX218" s="8">
        <v>0.126</v>
      </c>
      <c r="AY218" s="336">
        <v>0.106</v>
      </c>
      <c r="AZ218" s="336">
        <v>8.6999999999999994E-2</v>
      </c>
      <c r="BA218" s="9">
        <v>0.13400000000000001</v>
      </c>
      <c r="BB218" s="336">
        <v>0.06</v>
      </c>
      <c r="BC218" s="8">
        <v>0.123</v>
      </c>
      <c r="BD218" s="336">
        <v>0.107</v>
      </c>
      <c r="BE218" s="336">
        <v>0.14000000000000001</v>
      </c>
      <c r="BF218" s="9">
        <v>0.112</v>
      </c>
      <c r="BG218" s="336">
        <v>0.122</v>
      </c>
      <c r="BH218" s="8">
        <v>6.6000000000000003E-2</v>
      </c>
      <c r="BI218" s="336">
        <v>6.6000000000000003E-2</v>
      </c>
      <c r="BJ218" s="336">
        <v>1.2999999999999999E-2</v>
      </c>
      <c r="BK218" s="9">
        <v>6.5000000000000002E-2</v>
      </c>
      <c r="BL218" s="336">
        <v>0.01</v>
      </c>
      <c r="BM218" s="8">
        <v>-7.0000000000000001E-3</v>
      </c>
      <c r="BN218" s="336"/>
      <c r="BO218" s="336"/>
      <c r="BP218" s="9">
        <v>1E-3</v>
      </c>
    </row>
    <row r="219" spans="2:68" s="26" customFormat="1" ht="12.75" customHeight="1">
      <c r="B219" s="219"/>
      <c r="C219" s="74" t="s">
        <v>319</v>
      </c>
      <c r="D219" s="8"/>
      <c r="E219" s="8"/>
      <c r="F219" s="8"/>
      <c r="G219" s="10"/>
      <c r="H219" s="9"/>
      <c r="I219" s="8"/>
      <c r="J219" s="8"/>
      <c r="K219" s="8"/>
      <c r="L219" s="10"/>
      <c r="M219" s="9"/>
      <c r="N219" s="8"/>
      <c r="O219" s="8"/>
      <c r="P219" s="8"/>
      <c r="Q219" s="10"/>
      <c r="R219" s="9"/>
      <c r="S219" s="260"/>
      <c r="T219" s="260"/>
      <c r="U219" s="260"/>
      <c r="V219" s="260"/>
      <c r="W219" s="9"/>
      <c r="X219" s="336">
        <v>0.16</v>
      </c>
      <c r="Y219" s="336">
        <v>0.12833006280644366</v>
      </c>
      <c r="Z219" s="336">
        <v>0.17345015750933523</v>
      </c>
      <c r="AA219" s="336">
        <v>0.18396679544182293</v>
      </c>
      <c r="AB219" s="9">
        <v>0.16456511921196659</v>
      </c>
      <c r="AC219" s="336">
        <v>0.17699999999999999</v>
      </c>
      <c r="AD219" s="336">
        <v>0.191</v>
      </c>
      <c r="AE219" s="336">
        <v>8.8999999999999996E-2</v>
      </c>
      <c r="AF219" s="336">
        <v>7.2999999999999995E-2</v>
      </c>
      <c r="AG219" s="9">
        <v>0.129</v>
      </c>
      <c r="AH219" s="336">
        <v>-2E-3</v>
      </c>
      <c r="AI219" s="336">
        <v>-3.6999999999999998E-2</v>
      </c>
      <c r="AJ219" s="336">
        <v>4.9000000000000002E-2</v>
      </c>
      <c r="AK219" s="336">
        <v>4.9000000000000002E-2</v>
      </c>
      <c r="AL219" s="9">
        <v>1.4E-2</v>
      </c>
      <c r="AM219" s="336">
        <v>0.105</v>
      </c>
      <c r="AN219" s="336">
        <v>0.14599999999999999</v>
      </c>
      <c r="AO219" s="336">
        <v>0.13600000000000001</v>
      </c>
      <c r="AP219" s="336">
        <v>0.17799999999999999</v>
      </c>
      <c r="AQ219" s="9">
        <v>0.14399999999999999</v>
      </c>
      <c r="AR219" s="336">
        <v>0.246</v>
      </c>
      <c r="AS219" s="336">
        <v>0.24299999999999999</v>
      </c>
      <c r="AT219" s="336">
        <v>0.25900000000000001</v>
      </c>
      <c r="AU219" s="336">
        <v>0.17100000000000001</v>
      </c>
      <c r="AV219" s="9">
        <v>0.22800000000000001</v>
      </c>
      <c r="AW219" s="336">
        <v>8.6181268698441782E-2</v>
      </c>
      <c r="AX219" s="8">
        <v>5.0999999999999997E-2</v>
      </c>
      <c r="AY219" s="336">
        <v>3.0000000000000001E-3</v>
      </c>
      <c r="AZ219" s="336">
        <v>3.3000000000000002E-2</v>
      </c>
      <c r="BA219" s="9">
        <v>3.5999999999999997E-2</v>
      </c>
      <c r="BB219" s="336">
        <v>6.3E-2</v>
      </c>
      <c r="BC219" s="8">
        <v>0.109</v>
      </c>
      <c r="BD219" s="336">
        <v>8.5999999999999993E-2</v>
      </c>
      <c r="BE219" s="336">
        <v>1.4999999999999999E-2</v>
      </c>
      <c r="BF219" s="9">
        <v>6.4000000000000001E-2</v>
      </c>
      <c r="BG219" s="336">
        <v>6.4000000000000001E-2</v>
      </c>
      <c r="BH219" s="8">
        <v>2.1000000000000001E-2</v>
      </c>
      <c r="BI219" s="336">
        <v>5.0000000000000001E-3</v>
      </c>
      <c r="BJ219" s="336">
        <v>6.7000000000000004E-2</v>
      </c>
      <c r="BK219" s="9">
        <v>3.9E-2</v>
      </c>
      <c r="BL219" s="336">
        <v>1.2999999999999999E-2</v>
      </c>
      <c r="BM219" s="8">
        <v>7.2999999999999995E-2</v>
      </c>
      <c r="BN219" s="336"/>
      <c r="BO219" s="336"/>
      <c r="BP219" s="9">
        <v>4.2999999999999997E-2</v>
      </c>
    </row>
    <row r="220" spans="2:68" s="26" customFormat="1" ht="12.75" customHeight="1">
      <c r="B220" s="219"/>
      <c r="C220" s="74" t="s">
        <v>320</v>
      </c>
      <c r="D220" s="8"/>
      <c r="E220" s="8"/>
      <c r="F220" s="8"/>
      <c r="G220" s="10"/>
      <c r="H220" s="9"/>
      <c r="I220" s="8"/>
      <c r="J220" s="8"/>
      <c r="K220" s="8"/>
      <c r="L220" s="10"/>
      <c r="M220" s="9"/>
      <c r="N220" s="8"/>
      <c r="O220" s="8"/>
      <c r="P220" s="8"/>
      <c r="Q220" s="10"/>
      <c r="R220" s="9"/>
      <c r="S220" s="260"/>
      <c r="T220" s="260"/>
      <c r="U220" s="260"/>
      <c r="V220" s="260"/>
      <c r="W220" s="9"/>
      <c r="X220" s="336">
        <v>7.2999999999999995E-2</v>
      </c>
      <c r="Y220" s="336">
        <v>0.13697071041927433</v>
      </c>
      <c r="Z220" s="336">
        <v>0.10635101528592839</v>
      </c>
      <c r="AA220" s="336">
        <v>0.11449481807891937</v>
      </c>
      <c r="AB220" s="9">
        <v>0.10866036398366297</v>
      </c>
      <c r="AC220" s="336">
        <v>6.9000000000000006E-2</v>
      </c>
      <c r="AD220" s="336">
        <v>1.0999999999999999E-2</v>
      </c>
      <c r="AE220" s="336">
        <v>2.5000000000000001E-2</v>
      </c>
      <c r="AF220" s="336">
        <v>4.2000000000000003E-2</v>
      </c>
      <c r="AG220" s="9">
        <v>3.5999999999999997E-2</v>
      </c>
      <c r="AH220" s="336">
        <v>-7.3999999999999996E-2</v>
      </c>
      <c r="AI220" s="336">
        <v>-3.0000000000000001E-3</v>
      </c>
      <c r="AJ220" s="336">
        <v>0.02</v>
      </c>
      <c r="AK220" s="336">
        <v>4.4999999999999998E-2</v>
      </c>
      <c r="AL220" s="9">
        <v>-2E-3</v>
      </c>
      <c r="AM220" s="336">
        <v>0.222</v>
      </c>
      <c r="AN220" s="336">
        <v>0.17199999999999999</v>
      </c>
      <c r="AO220" s="336">
        <v>0.19800000000000001</v>
      </c>
      <c r="AP220" s="336">
        <v>0.16500000000000001</v>
      </c>
      <c r="AQ220" s="9">
        <v>0.183</v>
      </c>
      <c r="AR220" s="336">
        <v>0.17799999999999999</v>
      </c>
      <c r="AS220" s="336">
        <v>0.154</v>
      </c>
      <c r="AT220" s="336">
        <v>0.127</v>
      </c>
      <c r="AU220" s="336">
        <v>0.126</v>
      </c>
      <c r="AV220" s="9">
        <v>0.152</v>
      </c>
      <c r="AW220" s="336">
        <v>4.0464153951210724E-2</v>
      </c>
      <c r="AX220" s="8">
        <v>9.1999999999999998E-2</v>
      </c>
      <c r="AY220" s="336">
        <v>4.0000000000000001E-3</v>
      </c>
      <c r="AZ220" s="336">
        <v>-3.6999999999999998E-2</v>
      </c>
      <c r="BA220" s="9">
        <v>2.1999999999999999E-2</v>
      </c>
      <c r="BB220" s="336">
        <v>-0.03</v>
      </c>
      <c r="BC220" s="8">
        <v>-9.6000000000000002E-2</v>
      </c>
      <c r="BD220" s="336">
        <v>1E-3</v>
      </c>
      <c r="BE220" s="336">
        <v>-2.5999999999999999E-2</v>
      </c>
      <c r="BF220" s="9">
        <v>-3.7999999999999999E-2</v>
      </c>
      <c r="BG220" s="336">
        <v>4.0000000000000001E-3</v>
      </c>
      <c r="BH220" s="8">
        <v>-2.3E-2</v>
      </c>
      <c r="BI220" s="336">
        <v>-5.5E-2</v>
      </c>
      <c r="BJ220" s="336">
        <v>5.0000000000000001E-3</v>
      </c>
      <c r="BK220" s="9">
        <v>-1.7999999999999999E-2</v>
      </c>
      <c r="BL220" s="336">
        <v>-1.7999999999999999E-2</v>
      </c>
      <c r="BM220" s="8">
        <v>-7.6999999999999999E-2</v>
      </c>
      <c r="BN220" s="336"/>
      <c r="BO220" s="336"/>
      <c r="BP220" s="9">
        <v>-4.7E-2</v>
      </c>
    </row>
    <row r="221" spans="2:68" s="26" customFormat="1" ht="12.75" customHeight="1">
      <c r="B221" s="219"/>
      <c r="C221" s="74" t="s">
        <v>321</v>
      </c>
      <c r="D221" s="8"/>
      <c r="E221" s="8"/>
      <c r="F221" s="8"/>
      <c r="G221" s="10"/>
      <c r="H221" s="9"/>
      <c r="I221" s="8"/>
      <c r="J221" s="8"/>
      <c r="K221" s="8"/>
      <c r="L221" s="10"/>
      <c r="M221" s="9"/>
      <c r="N221" s="8"/>
      <c r="O221" s="8"/>
      <c r="P221" s="8"/>
      <c r="Q221" s="10"/>
      <c r="R221" s="9"/>
      <c r="S221" s="260"/>
      <c r="T221" s="260"/>
      <c r="U221" s="260"/>
      <c r="V221" s="260"/>
      <c r="W221" s="9"/>
      <c r="X221" s="336">
        <v>7.0000000000000007E-2</v>
      </c>
      <c r="Y221" s="336">
        <v>7.5773950907292109E-2</v>
      </c>
      <c r="Z221" s="336">
        <v>5.8512660697352947E-2</v>
      </c>
      <c r="AA221" s="336">
        <v>0.17981834659452889</v>
      </c>
      <c r="AB221" s="9">
        <v>9.667718690441407E-2</v>
      </c>
      <c r="AC221" s="336">
        <v>0.22600000000000001</v>
      </c>
      <c r="AD221" s="336">
        <v>0.192</v>
      </c>
      <c r="AE221" s="336">
        <v>0.20599999999999999</v>
      </c>
      <c r="AF221" s="336">
        <v>3.1E-2</v>
      </c>
      <c r="AG221" s="9">
        <v>0.161</v>
      </c>
      <c r="AH221" s="336">
        <v>-7.0000000000000001E-3</v>
      </c>
      <c r="AI221" s="336">
        <v>-1.7999999999999999E-2</v>
      </c>
      <c r="AJ221" s="336">
        <v>8.0000000000000002E-3</v>
      </c>
      <c r="AK221" s="336">
        <v>-8.0000000000000002E-3</v>
      </c>
      <c r="AL221" s="9">
        <v>-7.0000000000000001E-3</v>
      </c>
      <c r="AM221" s="336">
        <v>4.5999999999999999E-2</v>
      </c>
      <c r="AN221" s="336">
        <v>0.16600000000000001</v>
      </c>
      <c r="AO221" s="336">
        <v>0.222</v>
      </c>
      <c r="AP221" s="336">
        <v>0.29199999999999998</v>
      </c>
      <c r="AQ221" s="9">
        <v>0.18</v>
      </c>
      <c r="AR221" s="336">
        <v>0.3</v>
      </c>
      <c r="AS221" s="336">
        <v>0.184</v>
      </c>
      <c r="AT221" s="336">
        <v>0.127</v>
      </c>
      <c r="AU221" s="336">
        <v>3.0000000000000001E-3</v>
      </c>
      <c r="AV221" s="9">
        <v>0.14699999999999999</v>
      </c>
      <c r="AW221" s="336">
        <v>-5.5520068181227566E-2</v>
      </c>
      <c r="AX221" s="8">
        <v>-4.2999999999999997E-2</v>
      </c>
      <c r="AY221" s="336">
        <v>-0.08</v>
      </c>
      <c r="AZ221" s="336">
        <v>4.4999999999999998E-2</v>
      </c>
      <c r="BA221" s="9">
        <v>-3.5000000000000003E-2</v>
      </c>
      <c r="BB221" s="336">
        <v>5.3999999999999999E-2</v>
      </c>
      <c r="BC221" s="8">
        <v>7.0000000000000007E-2</v>
      </c>
      <c r="BD221" s="336">
        <v>0.04</v>
      </c>
      <c r="BE221" s="336">
        <v>0</v>
      </c>
      <c r="BF221" s="9">
        <v>4.1000000000000002E-2</v>
      </c>
      <c r="BG221" s="336">
        <v>0.04</v>
      </c>
      <c r="BH221" s="8">
        <v>4.7E-2</v>
      </c>
      <c r="BI221" s="336">
        <v>9.9000000000000005E-2</v>
      </c>
      <c r="BJ221" s="336">
        <v>0.09</v>
      </c>
      <c r="BK221" s="9">
        <v>6.9000000000000006E-2</v>
      </c>
      <c r="BL221" s="336">
        <v>1.2999999999999999E-2</v>
      </c>
      <c r="BM221" s="8">
        <v>4.1000000000000002E-2</v>
      </c>
      <c r="BN221" s="336"/>
      <c r="BO221" s="336"/>
      <c r="BP221" s="9">
        <v>2.7E-2</v>
      </c>
    </row>
    <row r="222" spans="2:68" s="26" customFormat="1" ht="12.75" customHeight="1">
      <c r="B222" s="219"/>
      <c r="C222" s="74" t="s">
        <v>322</v>
      </c>
      <c r="D222" s="8"/>
      <c r="E222" s="8"/>
      <c r="F222" s="8"/>
      <c r="G222" s="10"/>
      <c r="H222" s="9"/>
      <c r="I222" s="8"/>
      <c r="J222" s="8"/>
      <c r="K222" s="8"/>
      <c r="L222" s="10"/>
      <c r="M222" s="9"/>
      <c r="N222" s="8"/>
      <c r="O222" s="8"/>
      <c r="P222" s="8"/>
      <c r="Q222" s="10"/>
      <c r="R222" s="9"/>
      <c r="S222" s="260"/>
      <c r="T222" s="260"/>
      <c r="U222" s="260"/>
      <c r="V222" s="260"/>
      <c r="W222" s="9"/>
      <c r="X222" s="336">
        <v>8.4000000000000005E-2</v>
      </c>
      <c r="Y222" s="336">
        <v>0.10973432034559005</v>
      </c>
      <c r="Z222" s="336">
        <v>0.10772956607664308</v>
      </c>
      <c r="AA222" s="336">
        <v>0.1338121746899128</v>
      </c>
      <c r="AB222" s="9">
        <v>0.10892690195228005</v>
      </c>
      <c r="AC222" s="336">
        <v>0.14599999999999999</v>
      </c>
      <c r="AD222" s="336">
        <v>0.11700000000000001</v>
      </c>
      <c r="AE222" s="336">
        <v>0.122</v>
      </c>
      <c r="AF222" s="336">
        <v>7.6999999999999999E-2</v>
      </c>
      <c r="AG222" s="9">
        <v>0.114</v>
      </c>
      <c r="AH222" s="336">
        <v>0.13400000000000001</v>
      </c>
      <c r="AI222" s="336">
        <v>0.24399999999999999</v>
      </c>
      <c r="AJ222" s="336">
        <v>0.17399999999999999</v>
      </c>
      <c r="AK222" s="336">
        <v>0.155</v>
      </c>
      <c r="AL222" s="9">
        <v>0.17599999999999999</v>
      </c>
      <c r="AM222" s="336">
        <v>0.14799999999999999</v>
      </c>
      <c r="AN222" s="336">
        <v>0.122</v>
      </c>
      <c r="AO222" s="336">
        <v>0.189</v>
      </c>
      <c r="AP222" s="336">
        <v>0.20899999999999999</v>
      </c>
      <c r="AQ222" s="9">
        <v>0.17199999999999999</v>
      </c>
      <c r="AR222" s="336">
        <v>0.16400000000000001</v>
      </c>
      <c r="AS222" s="336">
        <v>9.9000000000000005E-2</v>
      </c>
      <c r="AT222" s="336">
        <v>0.104</v>
      </c>
      <c r="AU222" s="336">
        <v>3.6999999999999998E-2</v>
      </c>
      <c r="AV222" s="9">
        <v>8.7999999999999995E-2</v>
      </c>
      <c r="AW222" s="336">
        <v>2.3395620524395921E-2</v>
      </c>
      <c r="AX222" s="8">
        <v>-6.0000000000000001E-3</v>
      </c>
      <c r="AY222" s="336">
        <v>-5.0999999999999997E-2</v>
      </c>
      <c r="AZ222" s="336">
        <v>9.7000000000000003E-2</v>
      </c>
      <c r="BA222" s="9">
        <v>1.9E-2</v>
      </c>
      <c r="BB222" s="336">
        <v>2.1000000000000001E-2</v>
      </c>
      <c r="BC222" s="8">
        <v>0.06</v>
      </c>
      <c r="BD222" s="336">
        <v>8.4000000000000005E-2</v>
      </c>
      <c r="BE222" s="336">
        <v>-1.0999999999999999E-2</v>
      </c>
      <c r="BF222" s="9">
        <v>3.5000000000000003E-2</v>
      </c>
      <c r="BG222" s="336">
        <v>1.7000000000000001E-2</v>
      </c>
      <c r="BH222" s="8">
        <v>8.5999999999999993E-2</v>
      </c>
      <c r="BI222" s="336">
        <v>-2.1999999999999999E-2</v>
      </c>
      <c r="BJ222" s="336">
        <v>-1.2E-2</v>
      </c>
      <c r="BK222" s="9">
        <v>1.7000000000000001E-2</v>
      </c>
      <c r="BL222" s="336">
        <v>2.4E-2</v>
      </c>
      <c r="BM222" s="8">
        <v>-0.17299999999999999</v>
      </c>
      <c r="BN222" s="336"/>
      <c r="BO222" s="336"/>
      <c r="BP222" s="9">
        <v>-7.9000000000000001E-2</v>
      </c>
    </row>
    <row r="223" spans="2:68" s="26" customFormat="1" ht="12.75" customHeight="1">
      <c r="B223" s="219"/>
      <c r="C223" s="74" t="s">
        <v>323</v>
      </c>
      <c r="D223" s="8"/>
      <c r="E223" s="8"/>
      <c r="F223" s="8"/>
      <c r="G223" s="10"/>
      <c r="H223" s="9"/>
      <c r="I223" s="8"/>
      <c r="J223" s="8"/>
      <c r="K223" s="8"/>
      <c r="L223" s="10"/>
      <c r="M223" s="9"/>
      <c r="N223" s="8"/>
      <c r="O223" s="8"/>
      <c r="P223" s="8"/>
      <c r="Q223" s="10"/>
      <c r="R223" s="9"/>
      <c r="S223" s="260"/>
      <c r="T223" s="260"/>
      <c r="U223" s="260"/>
      <c r="V223" s="260"/>
      <c r="W223" s="9"/>
      <c r="X223" s="336">
        <v>6.0999999999999999E-2</v>
      </c>
      <c r="Y223" s="336">
        <v>1.7941673858418161E-2</v>
      </c>
      <c r="Z223" s="336">
        <v>3.7250845161078905E-2</v>
      </c>
      <c r="AA223" s="336">
        <v>-1.0384072381818932E-2</v>
      </c>
      <c r="AB223" s="9">
        <v>2.7107066379031819E-2</v>
      </c>
      <c r="AC223" s="336">
        <v>4.2999999999999997E-2</v>
      </c>
      <c r="AD223" s="336">
        <v>0.109</v>
      </c>
      <c r="AE223" s="336">
        <v>0.17699999999999999</v>
      </c>
      <c r="AF223" s="336">
        <v>0.11899999999999999</v>
      </c>
      <c r="AG223" s="9">
        <v>0.11</v>
      </c>
      <c r="AH223" s="336">
        <v>7.6999999999999999E-2</v>
      </c>
      <c r="AI223" s="336">
        <v>7.3999999999999996E-2</v>
      </c>
      <c r="AJ223" s="336">
        <v>0.11</v>
      </c>
      <c r="AK223" s="336">
        <v>0.183</v>
      </c>
      <c r="AL223" s="9">
        <v>0.112</v>
      </c>
      <c r="AM223" s="336">
        <v>0.21199999999999999</v>
      </c>
      <c r="AN223" s="336">
        <v>0.26100000000000001</v>
      </c>
      <c r="AO223" s="336">
        <v>0.29199999999999998</v>
      </c>
      <c r="AP223" s="336">
        <v>0.16200000000000001</v>
      </c>
      <c r="AQ223" s="9">
        <v>0.23300000000000001</v>
      </c>
      <c r="AR223" s="336">
        <v>0.158</v>
      </c>
      <c r="AS223" s="336">
        <v>0.10299999999999999</v>
      </c>
      <c r="AT223" s="336">
        <v>0.05</v>
      </c>
      <c r="AU223" s="336">
        <v>0.157</v>
      </c>
      <c r="AV223" s="9">
        <v>0.113</v>
      </c>
      <c r="AW223" s="336">
        <v>0.13860493392750373</v>
      </c>
      <c r="AX223" s="8">
        <v>0.184</v>
      </c>
      <c r="AY223" s="336">
        <v>6.3E-2</v>
      </c>
      <c r="AZ223" s="336">
        <v>0.01</v>
      </c>
      <c r="BA223" s="9">
        <v>9.7000000000000003E-2</v>
      </c>
      <c r="BB223" s="336">
        <v>2.9000000000000001E-2</v>
      </c>
      <c r="BC223" s="8">
        <v>-3.5000000000000003E-2</v>
      </c>
      <c r="BD223" s="336">
        <v>6.3E-2</v>
      </c>
      <c r="BE223" s="336">
        <v>-3.4000000000000002E-2</v>
      </c>
      <c r="BF223" s="9">
        <v>6.0000000000000001E-3</v>
      </c>
      <c r="BG223" s="336">
        <v>-7.9000000000000001E-2</v>
      </c>
      <c r="BH223" s="8">
        <v>-0.105</v>
      </c>
      <c r="BI223" s="336">
        <v>-5.3999999999999999E-2</v>
      </c>
      <c r="BJ223" s="336">
        <v>0.11600000000000001</v>
      </c>
      <c r="BK223" s="9">
        <v>-3.4000000000000002E-2</v>
      </c>
      <c r="BL223" s="336">
        <v>0.24</v>
      </c>
      <c r="BM223" s="8">
        <v>0.32500000000000001</v>
      </c>
      <c r="BN223" s="336"/>
      <c r="BO223" s="336"/>
      <c r="BP223" s="9">
        <v>0.28299999999999997</v>
      </c>
    </row>
    <row r="224" spans="2:68" s="26" customFormat="1" ht="12.75" customHeight="1">
      <c r="B224" s="219"/>
      <c r="C224" s="74" t="s">
        <v>324</v>
      </c>
      <c r="D224" s="8"/>
      <c r="E224" s="8"/>
      <c r="F224" s="8"/>
      <c r="G224" s="10"/>
      <c r="H224" s="9"/>
      <c r="I224" s="8"/>
      <c r="J224" s="8"/>
      <c r="K224" s="8"/>
      <c r="L224" s="10"/>
      <c r="M224" s="9"/>
      <c r="N224" s="8"/>
      <c r="O224" s="8"/>
      <c r="P224" s="8"/>
      <c r="Q224" s="10"/>
      <c r="R224" s="9"/>
      <c r="S224" s="260"/>
      <c r="T224" s="260"/>
      <c r="U224" s="260"/>
      <c r="V224" s="260"/>
      <c r="W224" s="9"/>
      <c r="X224" s="336">
        <v>-0.14199999999999999</v>
      </c>
      <c r="Y224" s="336">
        <v>-6.1098147151461113E-2</v>
      </c>
      <c r="Z224" s="336">
        <v>-3.3310826400175908E-2</v>
      </c>
      <c r="AA224" s="336">
        <v>4.8550231816557599E-3</v>
      </c>
      <c r="AB224" s="9">
        <v>-6.4308093000832067E-2</v>
      </c>
      <c r="AC224" s="336">
        <v>-1.0999999999999999E-2</v>
      </c>
      <c r="AD224" s="336">
        <v>3.0000000000000001E-3</v>
      </c>
      <c r="AE224" s="336">
        <v>0.115</v>
      </c>
      <c r="AF224" s="336">
        <v>0.21099999999999999</v>
      </c>
      <c r="AG224" s="9">
        <v>7.5999999999999998E-2</v>
      </c>
      <c r="AH224" s="336">
        <v>0.24399999999999999</v>
      </c>
      <c r="AI224" s="336">
        <v>0.248</v>
      </c>
      <c r="AJ224" s="336">
        <v>2.7E-2</v>
      </c>
      <c r="AK224" s="336">
        <v>0.25800000000000001</v>
      </c>
      <c r="AL224" s="9">
        <v>0.188</v>
      </c>
      <c r="AM224" s="336">
        <v>0.10199999999999999</v>
      </c>
      <c r="AN224" s="336">
        <v>-9.6000000000000002E-2</v>
      </c>
      <c r="AO224" s="336">
        <v>0.36</v>
      </c>
      <c r="AP224" s="336">
        <v>7.2999999999999995E-2</v>
      </c>
      <c r="AQ224" s="9">
        <v>0.106</v>
      </c>
      <c r="AR224" s="336">
        <v>0.154</v>
      </c>
      <c r="AS224" s="336">
        <v>0.56599999999999995</v>
      </c>
      <c r="AT224" s="336">
        <v>8.1000000000000003E-2</v>
      </c>
      <c r="AU224" s="336">
        <v>0.13400000000000001</v>
      </c>
      <c r="AV224" s="9">
        <v>0.21099999999999999</v>
      </c>
      <c r="AW224" s="336">
        <v>0.3292256348127558</v>
      </c>
      <c r="AX224" s="8">
        <v>0.153</v>
      </c>
      <c r="AY224" s="336">
        <v>7.0000000000000007E-2</v>
      </c>
      <c r="AZ224" s="336">
        <v>5.0000000000000001E-3</v>
      </c>
      <c r="BA224" s="9">
        <v>0.13300000000000001</v>
      </c>
      <c r="BB224" s="336">
        <v>4.4999999999999998E-2</v>
      </c>
      <c r="BC224" s="8">
        <v>-1.2E-2</v>
      </c>
      <c r="BD224" s="336">
        <v>3.2000000000000001E-2</v>
      </c>
      <c r="BE224" s="336">
        <v>-2.8000000000000001E-2</v>
      </c>
      <c r="BF224" s="9">
        <v>0.01</v>
      </c>
      <c r="BG224" s="336">
        <v>-0.153</v>
      </c>
      <c r="BH224" s="8">
        <v>-2.4E-2</v>
      </c>
      <c r="BI224" s="336">
        <v>-9.2999999999999999E-2</v>
      </c>
      <c r="BJ224" s="336">
        <v>0.14000000000000001</v>
      </c>
      <c r="BK224" s="9">
        <v>-0.04</v>
      </c>
      <c r="BL224" s="336">
        <v>-9.9000000000000005E-2</v>
      </c>
      <c r="BM224" s="8">
        <v>-4.7E-2</v>
      </c>
      <c r="BN224" s="336"/>
      <c r="BO224" s="336"/>
      <c r="BP224" s="9">
        <v>-7.1999999999999995E-2</v>
      </c>
    </row>
    <row r="225" spans="2:68" s="26" customFormat="1" ht="12.75" customHeight="1">
      <c r="B225" s="219"/>
      <c r="C225" s="37"/>
      <c r="D225" s="8"/>
      <c r="E225" s="8"/>
      <c r="F225" s="8"/>
      <c r="G225" s="8"/>
      <c r="H225" s="9"/>
      <c r="I225" s="8"/>
      <c r="J225" s="8"/>
      <c r="K225" s="8"/>
      <c r="L225" s="8"/>
      <c r="M225" s="9"/>
      <c r="N225" s="8"/>
      <c r="O225" s="8"/>
      <c r="P225" s="8"/>
      <c r="Q225" s="8"/>
      <c r="R225" s="9"/>
      <c r="S225" s="8"/>
      <c r="T225" s="8"/>
      <c r="U225" s="8"/>
      <c r="V225" s="8"/>
      <c r="W225" s="9"/>
      <c r="X225" s="8"/>
      <c r="Y225" s="8"/>
      <c r="Z225" s="8"/>
      <c r="AA225" s="8"/>
      <c r="AB225" s="9"/>
      <c r="AC225" s="336"/>
      <c r="AD225" s="336"/>
      <c r="AE225" s="336"/>
      <c r="AF225" s="336"/>
      <c r="AG225" s="9"/>
      <c r="AH225" s="336"/>
      <c r="AI225" s="336"/>
      <c r="AJ225" s="336"/>
      <c r="AK225" s="336"/>
      <c r="AL225" s="9"/>
      <c r="AM225" s="336"/>
      <c r="AN225" s="336"/>
      <c r="AO225" s="336"/>
      <c r="AP225" s="336"/>
      <c r="AQ225" s="9"/>
      <c r="AR225" s="336"/>
      <c r="AS225" s="336"/>
      <c r="AT225" s="336"/>
      <c r="AU225" s="336"/>
      <c r="AV225" s="9"/>
      <c r="AW225" s="336"/>
      <c r="AX225" s="336"/>
      <c r="AY225" s="336"/>
      <c r="AZ225" s="336"/>
      <c r="BA225" s="9"/>
      <c r="BB225" s="336"/>
      <c r="BC225" s="336"/>
      <c r="BD225" s="336"/>
      <c r="BE225" s="336"/>
      <c r="BF225" s="9"/>
      <c r="BG225" s="336"/>
      <c r="BH225" s="336"/>
      <c r="BI225" s="336"/>
      <c r="BJ225" s="336"/>
      <c r="BK225" s="9"/>
      <c r="BL225" s="336"/>
      <c r="BM225" s="336"/>
      <c r="BN225" s="336"/>
      <c r="BO225" s="336"/>
      <c r="BP225" s="9"/>
    </row>
    <row r="226" spans="2:68" s="429" customFormat="1">
      <c r="B226" s="219">
        <v>11</v>
      </c>
      <c r="C226" s="198" t="s">
        <v>408</v>
      </c>
      <c r="D226" s="430">
        <v>700</v>
      </c>
      <c r="E226" s="430">
        <v>600</v>
      </c>
      <c r="F226" s="430">
        <v>213</v>
      </c>
      <c r="G226" s="430">
        <v>414</v>
      </c>
      <c r="H226" s="24">
        <v>1927</v>
      </c>
      <c r="I226" s="430">
        <v>688</v>
      </c>
      <c r="J226" s="430">
        <v>983</v>
      </c>
      <c r="K226" s="430">
        <v>962</v>
      </c>
      <c r="L226" s="430">
        <v>1227</v>
      </c>
      <c r="M226" s="24">
        <v>3860</v>
      </c>
      <c r="N226" s="430">
        <v>809</v>
      </c>
      <c r="O226" s="430">
        <v>1207</v>
      </c>
      <c r="P226" s="430">
        <v>664</v>
      </c>
      <c r="Q226" s="430">
        <v>806</v>
      </c>
      <c r="R226" s="24">
        <v>3486</v>
      </c>
      <c r="S226" s="430">
        <v>657</v>
      </c>
      <c r="T226" s="430">
        <v>731</v>
      </c>
      <c r="U226" s="430">
        <v>779</v>
      </c>
      <c r="V226" s="430">
        <v>905</v>
      </c>
      <c r="W226" s="24">
        <f>SUM(S226:V226)</f>
        <v>3072</v>
      </c>
      <c r="X226" s="302">
        <v>1116</v>
      </c>
      <c r="Y226" s="23">
        <v>2029</v>
      </c>
      <c r="Z226" s="23">
        <v>1570</v>
      </c>
      <c r="AA226" s="23">
        <v>1568</v>
      </c>
      <c r="AB226" s="24">
        <f>SUM(X226:AA226)</f>
        <v>6283</v>
      </c>
      <c r="AC226" s="431">
        <v>2714</v>
      </c>
      <c r="AD226" s="23">
        <v>2847</v>
      </c>
      <c r="AE226" s="23">
        <v>1813</v>
      </c>
      <c r="AF226" s="23">
        <v>1646</v>
      </c>
      <c r="AG226" s="24">
        <f>SUM(AC226:AF226)+1</f>
        <v>9021</v>
      </c>
      <c r="AH226" s="431">
        <v>1744</v>
      </c>
      <c r="AI226" s="23">
        <v>3145</v>
      </c>
      <c r="AJ226" s="23">
        <v>7129</v>
      </c>
      <c r="AK226" s="23">
        <v>2111</v>
      </c>
      <c r="AL226" s="24">
        <f>SUM(AH226:AK226)</f>
        <v>14129</v>
      </c>
      <c r="AM226" s="431">
        <v>2569.9</v>
      </c>
      <c r="AN226" s="23">
        <v>2152</v>
      </c>
      <c r="AO226" s="23">
        <v>2525</v>
      </c>
      <c r="AP226" s="23">
        <v>2257</v>
      </c>
      <c r="AQ226" s="24">
        <f>SUM(AM226:AP226)</f>
        <v>9503.9</v>
      </c>
      <c r="AR226" s="431">
        <v>1691</v>
      </c>
      <c r="AS226" s="23">
        <v>2744</v>
      </c>
      <c r="AT226" s="23">
        <v>3300</v>
      </c>
      <c r="AU226" s="23">
        <v>2076</v>
      </c>
      <c r="AV226" s="24">
        <f>SUM(AR226:AU226)</f>
        <v>9811</v>
      </c>
      <c r="AW226" s="431">
        <v>2285</v>
      </c>
      <c r="AX226" s="23">
        <v>7684</v>
      </c>
      <c r="AY226" s="23">
        <v>3241.2317857145758</v>
      </c>
      <c r="AZ226" s="23">
        <v>4454</v>
      </c>
      <c r="BA226" s="24">
        <f>SUM(AW226:AZ226)</f>
        <v>17664.231785714575</v>
      </c>
      <c r="BB226" s="431">
        <v>4085</v>
      </c>
      <c r="BC226" s="23">
        <v>2430</v>
      </c>
      <c r="BD226" s="23">
        <v>2495</v>
      </c>
      <c r="BE226" s="23">
        <v>2637</v>
      </c>
      <c r="BF226" s="24">
        <f>SUM(BB226:BE226)</f>
        <v>11647</v>
      </c>
      <c r="BG226" s="431">
        <v>3797</v>
      </c>
      <c r="BH226" s="23">
        <v>3063</v>
      </c>
      <c r="BI226" s="23">
        <v>4846</v>
      </c>
      <c r="BJ226" s="23">
        <v>3242</v>
      </c>
      <c r="BK226" s="24">
        <f>SUM(BG226:BJ226)</f>
        <v>14948</v>
      </c>
      <c r="BL226" s="431">
        <v>3635</v>
      </c>
      <c r="BM226" s="23">
        <v>5174</v>
      </c>
      <c r="BN226" s="23"/>
      <c r="BO226" s="23"/>
      <c r="BP226" s="24">
        <f>SUM(BL226:BO226)</f>
        <v>8809</v>
      </c>
    </row>
    <row r="227" spans="2:68" s="26" customFormat="1" ht="12" hidden="1" customHeight="1">
      <c r="B227" s="219"/>
      <c r="C227" s="75" t="s">
        <v>409</v>
      </c>
      <c r="D227" s="199">
        <v>700</v>
      </c>
      <c r="E227" s="199">
        <v>600</v>
      </c>
      <c r="F227" s="199">
        <v>213</v>
      </c>
      <c r="G227" s="200">
        <v>414</v>
      </c>
      <c r="H227" s="28">
        <f>SUM(D227:G227)</f>
        <v>1927</v>
      </c>
      <c r="I227" s="199">
        <v>688</v>
      </c>
      <c r="J227" s="199">
        <v>983</v>
      </c>
      <c r="K227" s="199">
        <v>362</v>
      </c>
      <c r="L227" s="200">
        <v>757</v>
      </c>
      <c r="M227" s="28">
        <f>SUM(I227:L227)</f>
        <v>2790</v>
      </c>
      <c r="N227" s="199">
        <v>809</v>
      </c>
      <c r="O227" s="199">
        <v>138</v>
      </c>
      <c r="P227" s="199">
        <v>436</v>
      </c>
      <c r="Q227" s="200">
        <v>183</v>
      </c>
      <c r="R227" s="28">
        <f>SUM(N227:Q227)</f>
        <v>1566</v>
      </c>
      <c r="S227" s="199"/>
      <c r="T227" s="199"/>
      <c r="U227" s="199"/>
      <c r="V227" s="199"/>
      <c r="W227" s="28"/>
      <c r="X227" s="199"/>
      <c r="Y227" s="199"/>
      <c r="Z227" s="199"/>
      <c r="AA227" s="199"/>
      <c r="AB227" s="28"/>
      <c r="AC227" s="353"/>
      <c r="AD227" s="353"/>
      <c r="AE227" s="353"/>
      <c r="AF227" s="353"/>
      <c r="AG227" s="28"/>
      <c r="AH227" s="353"/>
      <c r="AI227" s="353"/>
      <c r="AJ227" s="353"/>
      <c r="AK227" s="353"/>
      <c r="AL227" s="28"/>
      <c r="AM227" s="353"/>
      <c r="AN227" s="353"/>
      <c r="AO227" s="353"/>
      <c r="AP227" s="353"/>
      <c r="AQ227" s="28"/>
      <c r="AR227" s="353"/>
      <c r="AS227" s="353"/>
      <c r="AT227" s="353"/>
      <c r="AU227" s="353"/>
      <c r="AV227" s="28"/>
      <c r="AW227" s="353"/>
      <c r="AX227" s="353"/>
      <c r="AY227" s="353"/>
      <c r="AZ227" s="353"/>
      <c r="BA227" s="28"/>
      <c r="BB227" s="353"/>
      <c r="BC227" s="353"/>
      <c r="BD227" s="353"/>
      <c r="BE227" s="353"/>
      <c r="BF227" s="28"/>
      <c r="BG227" s="353"/>
      <c r="BH227" s="353"/>
      <c r="BI227" s="353"/>
      <c r="BJ227" s="353"/>
      <c r="BK227" s="28"/>
      <c r="BL227" s="353"/>
      <c r="BM227" s="353"/>
      <c r="BN227" s="353"/>
      <c r="BO227" s="353"/>
      <c r="BP227" s="28"/>
    </row>
    <row r="228" spans="2:68" s="26" customFormat="1" ht="12" hidden="1" customHeight="1">
      <c r="B228" s="219"/>
      <c r="C228" s="75" t="s">
        <v>410</v>
      </c>
      <c r="D228" s="199"/>
      <c r="E228" s="199"/>
      <c r="F228" s="199"/>
      <c r="G228" s="200"/>
      <c r="H228" s="28"/>
      <c r="I228" s="199"/>
      <c r="J228" s="199"/>
      <c r="K228" s="199">
        <v>600</v>
      </c>
      <c r="L228" s="200">
        <v>470</v>
      </c>
      <c r="M228" s="28">
        <f>SUM(I228:L228)</f>
        <v>1070</v>
      </c>
      <c r="N228" s="199">
        <v>0</v>
      </c>
      <c r="O228" s="199">
        <v>1069</v>
      </c>
      <c r="P228" s="199">
        <v>228</v>
      </c>
      <c r="Q228" s="200">
        <v>623</v>
      </c>
      <c r="R228" s="28">
        <f>SUM(N228:Q228)</f>
        <v>1920</v>
      </c>
      <c r="S228" s="199"/>
      <c r="T228" s="199"/>
      <c r="U228" s="199"/>
      <c r="V228" s="199"/>
      <c r="W228" s="28"/>
      <c r="X228" s="199"/>
      <c r="Y228" s="199"/>
      <c r="Z228" s="199"/>
      <c r="AA228" s="199"/>
      <c r="AB228" s="28"/>
      <c r="AC228" s="353"/>
      <c r="AD228" s="353"/>
      <c r="AE228" s="353"/>
      <c r="AF228" s="353"/>
      <c r="AG228" s="28"/>
      <c r="AH228" s="353"/>
      <c r="AI228" s="353"/>
      <c r="AJ228" s="353"/>
      <c r="AK228" s="353"/>
      <c r="AL228" s="28"/>
      <c r="AM228" s="353"/>
      <c r="AN228" s="353"/>
      <c r="AO228" s="353"/>
      <c r="AP228" s="353"/>
      <c r="AQ228" s="28"/>
      <c r="AR228" s="353"/>
      <c r="AS228" s="353"/>
      <c r="AT228" s="353"/>
      <c r="AU228" s="353"/>
      <c r="AV228" s="28"/>
      <c r="AW228" s="353"/>
      <c r="AX228" s="353"/>
      <c r="AY228" s="353"/>
      <c r="AZ228" s="353"/>
      <c r="BA228" s="28"/>
      <c r="BB228" s="353"/>
      <c r="BC228" s="353"/>
      <c r="BD228" s="353"/>
      <c r="BE228" s="353"/>
      <c r="BF228" s="28"/>
      <c r="BG228" s="353"/>
      <c r="BH228" s="353"/>
      <c r="BI228" s="353"/>
      <c r="BJ228" s="353"/>
      <c r="BK228" s="28"/>
      <c r="BL228" s="353"/>
      <c r="BM228" s="353"/>
      <c r="BN228" s="353"/>
      <c r="BO228" s="353"/>
      <c r="BP228" s="28"/>
    </row>
    <row r="229" spans="2:68" s="26" customFormat="1" ht="12" customHeight="1">
      <c r="B229" s="219"/>
      <c r="C229" s="35" t="s">
        <v>411</v>
      </c>
      <c r="D229" s="199"/>
      <c r="E229" s="199"/>
      <c r="F229" s="199"/>
      <c r="G229" s="200"/>
      <c r="H229" s="9"/>
      <c r="I229" s="199"/>
      <c r="J229" s="199"/>
      <c r="K229" s="199"/>
      <c r="L229" s="200"/>
      <c r="M229" s="9"/>
      <c r="N229" s="199"/>
      <c r="O229" s="199"/>
      <c r="P229" s="199"/>
      <c r="Q229" s="200"/>
      <c r="R229" s="9"/>
      <c r="S229" s="199"/>
      <c r="T229" s="199"/>
      <c r="U229" s="199"/>
      <c r="V229" s="199"/>
      <c r="W229" s="9"/>
      <c r="X229" s="199"/>
      <c r="Y229" s="199"/>
      <c r="Z229" s="199"/>
      <c r="AA229" s="199"/>
      <c r="AB229" s="9"/>
      <c r="AC229" s="353"/>
      <c r="AD229" s="353"/>
      <c r="AE229" s="353"/>
      <c r="AF229" s="353"/>
      <c r="AG229" s="9"/>
      <c r="AH229" s="353"/>
      <c r="AI229" s="353"/>
      <c r="AJ229" s="353"/>
      <c r="AK229" s="353"/>
      <c r="AL229" s="9"/>
      <c r="AM229" s="336"/>
      <c r="AN229" s="336"/>
      <c r="AO229" s="336"/>
      <c r="AP229" s="336"/>
      <c r="AQ229" s="9"/>
      <c r="AR229" s="336"/>
      <c r="AS229" s="336"/>
      <c r="AT229" s="336"/>
      <c r="AU229" s="336"/>
      <c r="AV229" s="9"/>
      <c r="AW229" s="336">
        <v>0.56100000000000005</v>
      </c>
      <c r="AX229" s="336">
        <v>0.47899999999999998</v>
      </c>
      <c r="AY229" s="336">
        <v>0.71</v>
      </c>
      <c r="AZ229" s="336">
        <v>0.441</v>
      </c>
      <c r="BA229" s="9">
        <v>0.52300000000000002</v>
      </c>
      <c r="BB229" s="336">
        <v>0.57599999999999996</v>
      </c>
      <c r="BC229" s="336">
        <v>0.40899999999999997</v>
      </c>
      <c r="BD229" s="336">
        <v>0.626</v>
      </c>
      <c r="BE229" s="336">
        <v>0.63400000000000001</v>
      </c>
      <c r="BF229" s="9">
        <v>0.56499999999999995</v>
      </c>
      <c r="BG229" s="336">
        <v>0.54900000000000004</v>
      </c>
      <c r="BH229" s="336">
        <v>0.67200000000000004</v>
      </c>
      <c r="BI229" s="336">
        <v>0.56599999999999995</v>
      </c>
      <c r="BJ229" s="336">
        <v>0.39600000000000002</v>
      </c>
      <c r="BK229" s="9">
        <v>0.54600000000000004</v>
      </c>
      <c r="BL229" s="336">
        <v>0.61199999999999999</v>
      </c>
      <c r="BM229" s="336">
        <v>0.624</v>
      </c>
      <c r="BN229" s="336"/>
      <c r="BO229" s="336"/>
      <c r="BP229" s="9">
        <v>0.61899999999999999</v>
      </c>
    </row>
    <row r="230" spans="2:68" s="26" customFormat="1" ht="12" customHeight="1">
      <c r="B230" s="219"/>
      <c r="C230" s="35" t="s">
        <v>412</v>
      </c>
      <c r="D230" s="199"/>
      <c r="E230" s="199"/>
      <c r="F230" s="199"/>
      <c r="G230" s="200"/>
      <c r="H230" s="28"/>
      <c r="I230" s="199"/>
      <c r="J230" s="199"/>
      <c r="K230" s="199"/>
      <c r="L230" s="200"/>
      <c r="M230" s="28"/>
      <c r="N230" s="199"/>
      <c r="O230" s="199"/>
      <c r="P230" s="199"/>
      <c r="Q230" s="200"/>
      <c r="R230" s="28"/>
      <c r="S230" s="199"/>
      <c r="T230" s="199"/>
      <c r="U230" s="199"/>
      <c r="V230" s="199"/>
      <c r="W230" s="28"/>
      <c r="X230" s="199"/>
      <c r="Y230" s="199"/>
      <c r="Z230" s="199"/>
      <c r="AA230" s="199"/>
      <c r="AB230" s="28"/>
      <c r="AC230" s="353"/>
      <c r="AD230" s="353"/>
      <c r="AE230" s="353"/>
      <c r="AF230" s="353"/>
      <c r="AG230" s="28"/>
      <c r="AH230" s="353"/>
      <c r="AI230" s="353"/>
      <c r="AJ230" s="353"/>
      <c r="AK230" s="353"/>
      <c r="AL230" s="28"/>
      <c r="AM230" s="353"/>
      <c r="AN230" s="353"/>
      <c r="AO230" s="353"/>
      <c r="AP230" s="353"/>
      <c r="AQ230" s="28"/>
      <c r="AR230" s="353"/>
      <c r="AS230" s="353"/>
      <c r="AT230" s="353"/>
      <c r="AU230" s="353"/>
      <c r="AV230" s="28"/>
      <c r="AW230" s="353">
        <v>16</v>
      </c>
      <c r="AX230" s="353">
        <v>21</v>
      </c>
      <c r="AY230" s="353">
        <v>23</v>
      </c>
      <c r="AZ230" s="353">
        <v>30</v>
      </c>
      <c r="BA230" s="28">
        <f>SUM(AW230:AZ230)</f>
        <v>90</v>
      </c>
      <c r="BB230" s="353">
        <v>34</v>
      </c>
      <c r="BC230" s="353">
        <v>21</v>
      </c>
      <c r="BD230" s="353">
        <v>17</v>
      </c>
      <c r="BE230" s="353">
        <v>24</v>
      </c>
      <c r="BF230" s="28">
        <f>SUM(BB230:BE230)</f>
        <v>96</v>
      </c>
      <c r="BG230" s="353">
        <v>28</v>
      </c>
      <c r="BH230" s="353">
        <v>23</v>
      </c>
      <c r="BI230" s="353">
        <v>26</v>
      </c>
      <c r="BJ230" s="353">
        <v>19</v>
      </c>
      <c r="BK230" s="28">
        <f>SUM(BG230:BJ230)</f>
        <v>96</v>
      </c>
      <c r="BL230" s="353">
        <v>22</v>
      </c>
      <c r="BM230" s="353">
        <v>19</v>
      </c>
      <c r="BN230" s="353"/>
      <c r="BO230" s="353"/>
      <c r="BP230" s="28">
        <f>SUM(BL230:BO230)</f>
        <v>41</v>
      </c>
    </row>
    <row r="231" spans="2:68" s="26" customFormat="1" ht="12" customHeight="1">
      <c r="B231" s="219" t="s">
        <v>407</v>
      </c>
      <c r="C231" s="75"/>
      <c r="D231" s="199"/>
      <c r="E231" s="199"/>
      <c r="F231" s="199"/>
      <c r="G231" s="200"/>
      <c r="H231" s="28"/>
      <c r="I231" s="199"/>
      <c r="J231" s="199"/>
      <c r="K231" s="199"/>
      <c r="L231" s="200"/>
      <c r="M231" s="28"/>
      <c r="N231" s="199"/>
      <c r="O231" s="199"/>
      <c r="P231" s="199"/>
      <c r="Q231" s="200"/>
      <c r="R231" s="28"/>
      <c r="S231" s="199"/>
      <c r="T231" s="199"/>
      <c r="U231" s="199"/>
      <c r="V231" s="199"/>
      <c r="W231" s="28"/>
      <c r="X231" s="199"/>
      <c r="Y231" s="199"/>
      <c r="Z231" s="199"/>
      <c r="AA231" s="199"/>
      <c r="AB231" s="28"/>
      <c r="AC231" s="353"/>
      <c r="AD231" s="353"/>
      <c r="AE231" s="353"/>
      <c r="AF231" s="353"/>
      <c r="AG231" s="28"/>
      <c r="AH231" s="353"/>
      <c r="AI231" s="353"/>
      <c r="AJ231" s="353"/>
      <c r="AK231" s="353"/>
      <c r="AL231" s="28"/>
      <c r="AM231" s="353"/>
      <c r="AN231" s="353"/>
      <c r="AO231" s="353"/>
      <c r="AP231" s="353"/>
      <c r="AQ231" s="28"/>
      <c r="AR231" s="353"/>
      <c r="AS231" s="353"/>
      <c r="AT231" s="353"/>
      <c r="AU231" s="353"/>
      <c r="AV231" s="28"/>
      <c r="AW231" s="353"/>
      <c r="AX231" s="353"/>
      <c r="AY231" s="353"/>
      <c r="AZ231" s="353"/>
      <c r="BA231" s="28"/>
      <c r="BB231" s="353"/>
      <c r="BC231" s="353"/>
      <c r="BD231" s="353"/>
      <c r="BE231" s="353"/>
      <c r="BF231" s="28"/>
      <c r="BG231" s="353"/>
      <c r="BH231" s="353"/>
      <c r="BI231" s="353"/>
      <c r="BJ231" s="353"/>
      <c r="BK231" s="28"/>
      <c r="BL231" s="353"/>
      <c r="BM231" s="353"/>
      <c r="BN231" s="353"/>
      <c r="BO231" s="353"/>
      <c r="BP231" s="28"/>
    </row>
    <row r="232" spans="2:68" ht="12" customHeight="1">
      <c r="B232" s="218">
        <v>12</v>
      </c>
      <c r="C232" s="73" t="s">
        <v>413</v>
      </c>
      <c r="D232" s="19"/>
      <c r="E232" s="19"/>
      <c r="F232" s="19"/>
      <c r="G232" s="19"/>
      <c r="H232" s="9"/>
      <c r="I232" s="19"/>
      <c r="J232" s="19"/>
      <c r="K232" s="19"/>
      <c r="L232" s="19"/>
      <c r="M232" s="9"/>
      <c r="N232" s="19"/>
      <c r="O232" s="19"/>
      <c r="P232" s="19"/>
      <c r="Q232" s="19"/>
      <c r="R232" s="9"/>
      <c r="S232" s="19"/>
      <c r="T232" s="19"/>
      <c r="U232" s="19"/>
      <c r="V232" s="19"/>
      <c r="W232" s="9"/>
      <c r="X232" s="19"/>
      <c r="Y232" s="19"/>
      <c r="Z232" s="19"/>
      <c r="AA232" s="19"/>
      <c r="AB232" s="9"/>
      <c r="AC232" s="19"/>
      <c r="AD232" s="19"/>
      <c r="AG232" s="9"/>
      <c r="AH232" s="8"/>
      <c r="AI232" s="8"/>
      <c r="AJ232" s="8"/>
      <c r="AK232" s="26"/>
      <c r="AL232" s="9">
        <v>0.27382622215724178</v>
      </c>
      <c r="AM232" s="8">
        <v>0.29971028870830729</v>
      </c>
      <c r="AN232" s="8">
        <v>0.2981419911658546</v>
      </c>
      <c r="AO232" s="8">
        <v>0.30398001958509518</v>
      </c>
      <c r="AP232" s="26">
        <v>0.29075806236362306</v>
      </c>
      <c r="AQ232" s="9">
        <v>0.29075806236362306</v>
      </c>
      <c r="AR232" s="8">
        <v>0.31</v>
      </c>
      <c r="AS232" s="8">
        <v>0.308</v>
      </c>
      <c r="AT232" s="8">
        <v>0.32645636261128463</v>
      </c>
      <c r="AU232" s="26">
        <v>0.31196238828004264</v>
      </c>
      <c r="AV232" s="9">
        <v>0.31196238828004264</v>
      </c>
      <c r="AW232" s="8">
        <v>0.32800000000000001</v>
      </c>
      <c r="AX232" s="8">
        <v>0.309</v>
      </c>
      <c r="AY232" s="8">
        <v>0.318</v>
      </c>
      <c r="AZ232" s="8">
        <v>0.32100000000000001</v>
      </c>
      <c r="BA232" s="9">
        <v>0.32100000000000001</v>
      </c>
      <c r="BB232" s="8">
        <v>0.33600000000000002</v>
      </c>
      <c r="BC232" s="8">
        <v>0.315</v>
      </c>
      <c r="BD232" s="8">
        <v>0.33100000000000002</v>
      </c>
      <c r="BE232" s="8">
        <v>0.28999999999999998</v>
      </c>
      <c r="BF232" s="9">
        <v>0.28999999999999998</v>
      </c>
      <c r="BG232" s="8">
        <v>0.30399999999999999</v>
      </c>
      <c r="BH232" s="8">
        <v>0.29099999999999998</v>
      </c>
      <c r="BI232" s="8">
        <v>0.32800000000000001</v>
      </c>
      <c r="BJ232" s="8">
        <v>0.316</v>
      </c>
      <c r="BK232" s="9">
        <v>0.316</v>
      </c>
      <c r="BL232" s="8">
        <v>0.32100000000000001</v>
      </c>
      <c r="BM232" s="8">
        <v>0.30099999999999999</v>
      </c>
      <c r="BN232" s="8"/>
      <c r="BO232" s="8"/>
      <c r="BP232" s="9">
        <f>BM232</f>
        <v>0.30099999999999999</v>
      </c>
    </row>
    <row r="233" spans="2:68" s="26" customFormat="1">
      <c r="B233" s="219"/>
      <c r="C233" s="72"/>
      <c r="D233" s="8"/>
      <c r="E233" s="8"/>
      <c r="F233" s="8"/>
      <c r="G233" s="10"/>
      <c r="H233" s="9"/>
      <c r="I233" s="8"/>
      <c r="J233" s="8"/>
      <c r="K233" s="8"/>
      <c r="L233" s="10"/>
      <c r="M233" s="9"/>
      <c r="N233" s="8"/>
      <c r="O233" s="8"/>
      <c r="P233" s="8"/>
      <c r="Q233" s="10"/>
      <c r="R233" s="9"/>
      <c r="S233" s="8"/>
      <c r="T233" s="8"/>
      <c r="U233" s="8"/>
      <c r="V233" s="8"/>
      <c r="W233" s="9"/>
      <c r="X233" s="42"/>
      <c r="Y233" s="8"/>
      <c r="Z233" s="8"/>
      <c r="AA233" s="8"/>
      <c r="AB233" s="9"/>
      <c r="AC233" s="352"/>
      <c r="AD233" s="352"/>
      <c r="AE233" s="352"/>
      <c r="AF233" s="352"/>
      <c r="AG233" s="9"/>
      <c r="AH233" s="352"/>
      <c r="AI233" s="352"/>
      <c r="AJ233" s="352"/>
      <c r="AK233" s="352"/>
      <c r="AL233" s="9"/>
      <c r="AM233" s="352"/>
      <c r="AN233" s="352"/>
      <c r="AO233" s="352"/>
      <c r="AP233" s="352"/>
      <c r="AQ233" s="9"/>
      <c r="AR233" s="352"/>
      <c r="AS233" s="352"/>
      <c r="AT233" s="352"/>
      <c r="AU233" s="352"/>
      <c r="AV233" s="9"/>
      <c r="AW233" s="352"/>
      <c r="AX233" s="352"/>
      <c r="AY233" s="352"/>
      <c r="AZ233" s="352"/>
      <c r="BA233" s="9"/>
      <c r="BB233" s="352"/>
      <c r="BC233" s="352"/>
      <c r="BD233" s="352"/>
      <c r="BE233" s="352"/>
      <c r="BF233" s="9"/>
      <c r="BG233" s="352"/>
      <c r="BH233" s="352"/>
      <c r="BI233" s="352"/>
      <c r="BJ233" s="352"/>
      <c r="BK233" s="9"/>
      <c r="BL233" s="352"/>
      <c r="BM233" s="352"/>
      <c r="BN233" s="352"/>
      <c r="BO233" s="352"/>
      <c r="BP233" s="9"/>
    </row>
    <row r="234" spans="2:68">
      <c r="B234" s="218">
        <v>13</v>
      </c>
      <c r="C234" s="73" t="s">
        <v>414</v>
      </c>
      <c r="D234" s="19">
        <v>4943</v>
      </c>
      <c r="E234" s="19">
        <v>5444</v>
      </c>
      <c r="F234" s="19">
        <v>5532</v>
      </c>
      <c r="G234" s="29">
        <v>5214</v>
      </c>
      <c r="H234" s="28">
        <v>5214</v>
      </c>
      <c r="I234" s="19">
        <f>SUM(I236:I240)</f>
        <v>4750</v>
      </c>
      <c r="J234" s="19">
        <f>SUM(J236:J240)</f>
        <v>4894</v>
      </c>
      <c r="K234" s="19">
        <f>SUM(K236:K240)</f>
        <v>4765</v>
      </c>
      <c r="L234" s="29">
        <v>5202</v>
      </c>
      <c r="M234" s="28">
        <v>5202</v>
      </c>
      <c r="N234" s="19">
        <v>4918</v>
      </c>
      <c r="O234" s="19">
        <v>5349</v>
      </c>
      <c r="P234" s="19">
        <f>SUM(P236:P240)</f>
        <v>5255</v>
      </c>
      <c r="Q234" s="29">
        <v>5979</v>
      </c>
      <c r="R234" s="28">
        <v>5979</v>
      </c>
      <c r="S234" s="19">
        <v>6091</v>
      </c>
      <c r="T234" s="19">
        <v>6340</v>
      </c>
      <c r="U234" s="19">
        <v>4538</v>
      </c>
      <c r="V234" s="19">
        <v>4873</v>
      </c>
      <c r="W234" s="28">
        <v>4873</v>
      </c>
      <c r="X234" s="19">
        <v>4202</v>
      </c>
      <c r="Y234" s="19">
        <v>4185</v>
      </c>
      <c r="Z234" s="19">
        <v>4369</v>
      </c>
      <c r="AA234" s="19">
        <v>4437</v>
      </c>
      <c r="AB234" s="28">
        <v>4437</v>
      </c>
      <c r="AC234" s="333">
        <v>3570</v>
      </c>
      <c r="AD234" s="333">
        <v>3348</v>
      </c>
      <c r="AE234" s="333">
        <v>3423</v>
      </c>
      <c r="AF234" s="333">
        <v>3605</v>
      </c>
      <c r="AG234" s="28">
        <v>3605</v>
      </c>
      <c r="AH234" s="333">
        <f>3797-536</f>
        <v>3261</v>
      </c>
      <c r="AI234" s="333">
        <v>4555</v>
      </c>
      <c r="AJ234" s="333">
        <v>4538</v>
      </c>
      <c r="AK234" s="333">
        <v>5288</v>
      </c>
      <c r="AL234" s="28">
        <v>5288</v>
      </c>
      <c r="AM234" s="333">
        <v>5076</v>
      </c>
      <c r="AN234" s="333">
        <v>4418</v>
      </c>
      <c r="AO234" s="333">
        <v>4280</v>
      </c>
      <c r="AP234" s="333">
        <v>4937</v>
      </c>
      <c r="AQ234" s="28">
        <v>4937</v>
      </c>
      <c r="AR234" s="333">
        <v>4414</v>
      </c>
      <c r="AS234" s="333">
        <v>4785</v>
      </c>
      <c r="AT234" s="333">
        <v>3908</v>
      </c>
      <c r="AU234" s="333">
        <v>3807</v>
      </c>
      <c r="AV234" s="28">
        <v>3807</v>
      </c>
      <c r="AW234" s="333">
        <f>4478-885</f>
        <v>3593</v>
      </c>
      <c r="AX234" s="333">
        <v>4170</v>
      </c>
      <c r="AY234" s="333">
        <v>3903</v>
      </c>
      <c r="AZ234" s="333">
        <v>4676</v>
      </c>
      <c r="BA234" s="28">
        <f>AZ234</f>
        <v>4676</v>
      </c>
      <c r="BB234" s="333">
        <f>5705-1394</f>
        <v>4311</v>
      </c>
      <c r="BC234" s="333">
        <v>4626</v>
      </c>
      <c r="BD234" s="333">
        <v>4653</v>
      </c>
      <c r="BE234" s="333">
        <v>5562</v>
      </c>
      <c r="BF234" s="28">
        <v>5562</v>
      </c>
      <c r="BG234" s="333">
        <v>5271</v>
      </c>
      <c r="BH234" s="333">
        <v>6173</v>
      </c>
      <c r="BI234" s="333">
        <v>3917</v>
      </c>
      <c r="BJ234" s="333">
        <v>4542</v>
      </c>
      <c r="BK234" s="28">
        <f>BJ234</f>
        <v>4542</v>
      </c>
      <c r="BL234" s="333">
        <v>3916</v>
      </c>
      <c r="BM234" s="333">
        <v>4720</v>
      </c>
      <c r="BN234" s="333"/>
      <c r="BO234" s="333"/>
      <c r="BP234" s="28">
        <f>BM234</f>
        <v>4720</v>
      </c>
    </row>
    <row r="235" spans="2:68" ht="12" hidden="1" customHeight="1">
      <c r="B235" s="218"/>
      <c r="C235" s="74" t="s">
        <v>415</v>
      </c>
      <c r="D235" s="19"/>
      <c r="E235" s="19"/>
      <c r="F235" s="19"/>
      <c r="G235" s="29"/>
      <c r="H235" s="28"/>
      <c r="I235" s="19"/>
      <c r="J235" s="19"/>
      <c r="K235" s="19"/>
      <c r="L235" s="29"/>
      <c r="M235" s="28"/>
      <c r="N235" s="19"/>
      <c r="O235" s="19"/>
      <c r="P235" s="19"/>
      <c r="Q235" s="29"/>
      <c r="R235" s="28"/>
      <c r="S235" s="19"/>
      <c r="T235" s="19"/>
      <c r="U235" s="19"/>
      <c r="V235" s="19"/>
      <c r="W235" s="28"/>
      <c r="X235" s="19"/>
      <c r="Y235" s="19"/>
      <c r="Z235" s="19"/>
      <c r="AA235" s="19"/>
      <c r="AB235" s="28"/>
      <c r="AC235" s="19"/>
      <c r="AD235" s="19"/>
      <c r="AG235" s="28"/>
      <c r="AH235" s="19"/>
      <c r="AI235" s="19"/>
      <c r="AJ235" s="19"/>
      <c r="AL235" s="28"/>
      <c r="AM235" s="19"/>
      <c r="AN235" s="19"/>
      <c r="AO235" s="19"/>
      <c r="AQ235" s="28"/>
      <c r="AR235" s="19"/>
      <c r="AS235" s="19"/>
      <c r="AT235" s="19"/>
      <c r="AV235" s="28"/>
      <c r="AW235" s="19"/>
      <c r="AX235" s="19"/>
      <c r="AY235" s="19"/>
      <c r="BA235" s="28"/>
      <c r="BB235" s="19"/>
      <c r="BC235" s="19"/>
      <c r="BD235" s="19"/>
      <c r="BF235" s="28"/>
      <c r="BG235" s="19"/>
      <c r="BH235" s="19"/>
      <c r="BI235" s="19"/>
      <c r="BK235" s="28"/>
      <c r="BL235" s="19"/>
      <c r="BM235" s="19"/>
      <c r="BN235" s="19"/>
      <c r="BP235" s="28"/>
    </row>
    <row r="236" spans="2:68" ht="12" hidden="1" customHeight="1">
      <c r="B236" s="218"/>
      <c r="C236" s="75" t="s">
        <v>416</v>
      </c>
      <c r="D236" s="55">
        <v>3684</v>
      </c>
      <c r="E236" s="55">
        <v>4020</v>
      </c>
      <c r="F236" s="55">
        <v>4429</v>
      </c>
      <c r="G236" s="57">
        <v>4192</v>
      </c>
      <c r="H236" s="28">
        <v>4192</v>
      </c>
      <c r="I236" s="55">
        <v>3882</v>
      </c>
      <c r="J236" s="55">
        <v>3774</v>
      </c>
      <c r="K236" s="55">
        <v>3670</v>
      </c>
      <c r="L236" s="57">
        <v>4139</v>
      </c>
      <c r="M236" s="28">
        <v>4139</v>
      </c>
      <c r="N236" s="55">
        <v>3865</v>
      </c>
      <c r="O236" s="55">
        <v>3942</v>
      </c>
      <c r="P236" s="55">
        <v>3077</v>
      </c>
      <c r="Q236" s="57">
        <v>2296</v>
      </c>
      <c r="R236" s="28">
        <v>2296</v>
      </c>
      <c r="S236" s="55">
        <v>2398</v>
      </c>
      <c r="T236" s="55">
        <v>2232</v>
      </c>
      <c r="U236" s="55">
        <v>1857</v>
      </c>
      <c r="V236" s="55">
        <v>2021</v>
      </c>
      <c r="W236" s="28">
        <v>2021</v>
      </c>
      <c r="X236" s="55">
        <v>1320</v>
      </c>
      <c r="Y236" s="55">
        <v>1647</v>
      </c>
      <c r="Z236" s="55">
        <v>1568</v>
      </c>
      <c r="AA236" s="55">
        <v>2052</v>
      </c>
      <c r="AB236" s="28">
        <v>2052</v>
      </c>
      <c r="AC236" s="19" t="s">
        <v>266</v>
      </c>
      <c r="AD236" s="19" t="s">
        <v>266</v>
      </c>
      <c r="AG236" s="28"/>
      <c r="AH236" s="19"/>
      <c r="AI236" s="19"/>
      <c r="AJ236" s="19"/>
      <c r="AL236" s="28"/>
      <c r="AM236" s="19"/>
      <c r="AN236" s="19"/>
      <c r="AO236" s="19"/>
      <c r="AQ236" s="28"/>
      <c r="AR236" s="19"/>
      <c r="AS236" s="19"/>
      <c r="AT236" s="19"/>
      <c r="AV236" s="28"/>
      <c r="AW236" s="19"/>
      <c r="AX236" s="19"/>
      <c r="AY236" s="19"/>
      <c r="BA236" s="28"/>
      <c r="BB236" s="19"/>
      <c r="BC236" s="19"/>
      <c r="BD236" s="19"/>
      <c r="BF236" s="28"/>
      <c r="BG236" s="19"/>
      <c r="BH236" s="19"/>
      <c r="BI236" s="19"/>
      <c r="BK236" s="28"/>
      <c r="BL236" s="19"/>
      <c r="BM236" s="19"/>
      <c r="BN236" s="19"/>
      <c r="BP236" s="28"/>
    </row>
    <row r="237" spans="2:68" ht="12" hidden="1" customHeight="1">
      <c r="B237" s="218"/>
      <c r="C237" s="75" t="s">
        <v>417</v>
      </c>
      <c r="D237" s="55">
        <v>480</v>
      </c>
      <c r="E237" s="55">
        <v>584</v>
      </c>
      <c r="F237" s="55">
        <v>651</v>
      </c>
      <c r="G237" s="57">
        <v>667</v>
      </c>
      <c r="H237" s="28">
        <v>667</v>
      </c>
      <c r="I237" s="55">
        <v>539</v>
      </c>
      <c r="J237" s="55">
        <v>792</v>
      </c>
      <c r="K237" s="55">
        <v>785</v>
      </c>
      <c r="L237" s="57">
        <v>796</v>
      </c>
      <c r="M237" s="28">
        <v>796</v>
      </c>
      <c r="N237" s="55">
        <v>733</v>
      </c>
      <c r="O237" s="55">
        <v>821</v>
      </c>
      <c r="P237" s="55">
        <v>767</v>
      </c>
      <c r="Q237" s="57">
        <v>1193</v>
      </c>
      <c r="R237" s="28">
        <v>1193</v>
      </c>
      <c r="S237" s="55">
        <v>1181</v>
      </c>
      <c r="T237" s="55">
        <v>1343</v>
      </c>
      <c r="U237" s="55">
        <v>1369</v>
      </c>
      <c r="V237" s="55">
        <v>1020</v>
      </c>
      <c r="W237" s="28">
        <v>1020</v>
      </c>
      <c r="X237" s="55">
        <v>1020</v>
      </c>
      <c r="Y237" s="55">
        <v>815</v>
      </c>
      <c r="Z237" s="55">
        <v>789</v>
      </c>
      <c r="AA237" s="55">
        <v>777</v>
      </c>
      <c r="AB237" s="28">
        <v>777</v>
      </c>
      <c r="AC237" s="55"/>
      <c r="AD237" s="55"/>
      <c r="AG237" s="28"/>
      <c r="AH237" s="55"/>
      <c r="AI237" s="55"/>
      <c r="AJ237" s="55"/>
      <c r="AL237" s="28"/>
      <c r="AM237" s="55"/>
      <c r="AN237" s="55"/>
      <c r="AO237" s="55"/>
      <c r="AQ237" s="28"/>
      <c r="AR237" s="55"/>
      <c r="AS237" s="55"/>
      <c r="AT237" s="55"/>
      <c r="AV237" s="28"/>
      <c r="AW237" s="55"/>
      <c r="AX237" s="55"/>
      <c r="AY237" s="55"/>
      <c r="BA237" s="28"/>
      <c r="BB237" s="55"/>
      <c r="BC237" s="55"/>
      <c r="BD237" s="55"/>
      <c r="BF237" s="28"/>
      <c r="BG237" s="55"/>
      <c r="BH237" s="55"/>
      <c r="BI237" s="55"/>
      <c r="BK237" s="28"/>
      <c r="BL237" s="55"/>
      <c r="BM237" s="55"/>
      <c r="BN237" s="55"/>
      <c r="BP237" s="28"/>
    </row>
    <row r="238" spans="2:68" ht="12" hidden="1" customHeight="1">
      <c r="B238" s="218"/>
      <c r="C238" s="75" t="s">
        <v>418</v>
      </c>
      <c r="D238" s="55">
        <v>467</v>
      </c>
      <c r="E238" s="55">
        <v>611</v>
      </c>
      <c r="F238" s="55">
        <v>239</v>
      </c>
      <c r="G238" s="57">
        <v>140</v>
      </c>
      <c r="H238" s="28">
        <v>140</v>
      </c>
      <c r="I238" s="55">
        <v>116</v>
      </c>
      <c r="J238" s="55">
        <v>89</v>
      </c>
      <c r="K238" s="55">
        <v>68</v>
      </c>
      <c r="L238" s="57">
        <v>11</v>
      </c>
      <c r="M238" s="28">
        <v>11</v>
      </c>
      <c r="N238" s="55">
        <v>83</v>
      </c>
      <c r="O238" s="55">
        <v>323</v>
      </c>
      <c r="P238" s="55">
        <v>643</v>
      </c>
      <c r="Q238" s="57">
        <v>318</v>
      </c>
      <c r="R238" s="28">
        <v>318</v>
      </c>
      <c r="S238" s="55">
        <v>341</v>
      </c>
      <c r="T238" s="55">
        <v>809</v>
      </c>
      <c r="U238" s="55">
        <v>261</v>
      </c>
      <c r="V238" s="55">
        <v>174</v>
      </c>
      <c r="W238" s="28">
        <v>174</v>
      </c>
      <c r="X238" s="55">
        <v>341</v>
      </c>
      <c r="Y238" s="55">
        <v>254</v>
      </c>
      <c r="Z238" s="55">
        <v>529</v>
      </c>
      <c r="AA238" s="55">
        <v>600</v>
      </c>
      <c r="AB238" s="28">
        <v>600</v>
      </c>
      <c r="AC238" s="55"/>
      <c r="AD238" s="55"/>
      <c r="AG238" s="28"/>
      <c r="AH238" s="55"/>
      <c r="AI238" s="55"/>
      <c r="AJ238" s="55"/>
      <c r="AL238" s="28"/>
      <c r="AM238" s="55"/>
      <c r="AN238" s="55"/>
      <c r="AO238" s="55"/>
      <c r="AQ238" s="28"/>
      <c r="AR238" s="55"/>
      <c r="AS238" s="55"/>
      <c r="AT238" s="55"/>
      <c r="AV238" s="28"/>
      <c r="AW238" s="55"/>
      <c r="AX238" s="55"/>
      <c r="AY238" s="55"/>
      <c r="BA238" s="28"/>
      <c r="BB238" s="55"/>
      <c r="BC238" s="55"/>
      <c r="BD238" s="55"/>
      <c r="BF238" s="28"/>
      <c r="BG238" s="55"/>
      <c r="BH238" s="55"/>
      <c r="BI238" s="55"/>
      <c r="BK238" s="28"/>
      <c r="BL238" s="55"/>
      <c r="BM238" s="55"/>
      <c r="BN238" s="55"/>
      <c r="BP238" s="28"/>
    </row>
    <row r="239" spans="2:68" ht="12" hidden="1" customHeight="1">
      <c r="B239" s="218"/>
      <c r="C239" s="75" t="s">
        <v>419</v>
      </c>
      <c r="D239" s="55">
        <v>97</v>
      </c>
      <c r="E239" s="55">
        <v>17</v>
      </c>
      <c r="F239" s="55">
        <v>0</v>
      </c>
      <c r="G239" s="57">
        <v>0</v>
      </c>
      <c r="H239" s="28">
        <v>0</v>
      </c>
      <c r="I239" s="55">
        <v>0</v>
      </c>
      <c r="J239" s="55">
        <v>0</v>
      </c>
      <c r="K239" s="55">
        <v>0</v>
      </c>
      <c r="L239" s="57">
        <v>0</v>
      </c>
      <c r="M239" s="28">
        <v>0</v>
      </c>
      <c r="N239" s="55"/>
      <c r="O239" s="55"/>
      <c r="P239" s="55"/>
      <c r="Q239" s="57">
        <v>1219</v>
      </c>
      <c r="R239" s="28">
        <v>1219</v>
      </c>
      <c r="S239" s="55">
        <v>1264</v>
      </c>
      <c r="T239" s="55">
        <v>1044</v>
      </c>
      <c r="U239" s="55">
        <v>128</v>
      </c>
      <c r="V239" s="55">
        <v>808</v>
      </c>
      <c r="W239" s="28">
        <v>808</v>
      </c>
      <c r="X239" s="55">
        <v>663</v>
      </c>
      <c r="Y239" s="55">
        <v>792</v>
      </c>
      <c r="Z239" s="55">
        <v>857</v>
      </c>
      <c r="AA239" s="55">
        <v>358</v>
      </c>
      <c r="AB239" s="28">
        <v>358</v>
      </c>
      <c r="AC239" s="55"/>
      <c r="AD239" s="55"/>
      <c r="AG239" s="28"/>
      <c r="AH239" s="55"/>
      <c r="AI239" s="55"/>
      <c r="AJ239" s="55"/>
      <c r="AL239" s="28"/>
      <c r="AM239" s="55"/>
      <c r="AN239" s="55"/>
      <c r="AO239" s="55"/>
      <c r="AQ239" s="28"/>
      <c r="AR239" s="55"/>
      <c r="AS239" s="55"/>
      <c r="AT239" s="55"/>
      <c r="AV239" s="28"/>
      <c r="AW239" s="55"/>
      <c r="AX239" s="55"/>
      <c r="AY239" s="55"/>
      <c r="BA239" s="28"/>
      <c r="BB239" s="55"/>
      <c r="BC239" s="55"/>
      <c r="BD239" s="55"/>
      <c r="BF239" s="28"/>
      <c r="BG239" s="55"/>
      <c r="BH239" s="55"/>
      <c r="BI239" s="55"/>
      <c r="BK239" s="28"/>
      <c r="BL239" s="55"/>
      <c r="BM239" s="55"/>
      <c r="BN239" s="55"/>
      <c r="BP239" s="28"/>
    </row>
    <row r="240" spans="2:68" ht="12" hidden="1" customHeight="1">
      <c r="B240" s="218"/>
      <c r="C240" s="75" t="s">
        <v>420</v>
      </c>
      <c r="D240" s="19">
        <v>215</v>
      </c>
      <c r="E240" s="19">
        <v>212</v>
      </c>
      <c r="F240" s="19">
        <v>213</v>
      </c>
      <c r="G240" s="29">
        <v>215</v>
      </c>
      <c r="H240" s="28">
        <v>215</v>
      </c>
      <c r="I240" s="19">
        <v>213</v>
      </c>
      <c r="J240" s="19">
        <v>239</v>
      </c>
      <c r="K240" s="19">
        <v>242</v>
      </c>
      <c r="L240" s="29">
        <v>256</v>
      </c>
      <c r="M240" s="28">
        <v>256</v>
      </c>
      <c r="N240" s="19">
        <v>237</v>
      </c>
      <c r="O240" s="19">
        <v>263</v>
      </c>
      <c r="P240" s="19">
        <v>768</v>
      </c>
      <c r="Q240" s="29">
        <v>953</v>
      </c>
      <c r="R240" s="28">
        <v>953</v>
      </c>
      <c r="S240" s="19">
        <v>907</v>
      </c>
      <c r="T240" s="19">
        <v>912</v>
      </c>
      <c r="U240" s="19">
        <v>923</v>
      </c>
      <c r="V240" s="19">
        <v>850</v>
      </c>
      <c r="W240" s="28">
        <v>850</v>
      </c>
      <c r="X240" s="19">
        <v>787</v>
      </c>
      <c r="Y240" s="19">
        <v>677</v>
      </c>
      <c r="Z240" s="19">
        <v>626</v>
      </c>
      <c r="AA240" s="19">
        <v>650</v>
      </c>
      <c r="AB240" s="28">
        <v>650</v>
      </c>
      <c r="AC240" s="19"/>
      <c r="AD240" s="19"/>
      <c r="AG240" s="28"/>
      <c r="AH240" s="19"/>
      <c r="AI240" s="19"/>
      <c r="AJ240" s="19"/>
      <c r="AL240" s="28"/>
      <c r="AM240" s="19"/>
      <c r="AN240" s="19"/>
      <c r="AO240" s="19"/>
      <c r="AQ240" s="28"/>
      <c r="AR240" s="19"/>
      <c r="AS240" s="19"/>
      <c r="AT240" s="19"/>
      <c r="AV240" s="28"/>
      <c r="AW240" s="19"/>
      <c r="AX240" s="19"/>
      <c r="AY240" s="19"/>
      <c r="BA240" s="28"/>
      <c r="BB240" s="19"/>
      <c r="BC240" s="19"/>
      <c r="BD240" s="19"/>
      <c r="BF240" s="28"/>
      <c r="BG240" s="19"/>
      <c r="BH240" s="19"/>
      <c r="BI240" s="19"/>
      <c r="BK240" s="28"/>
      <c r="BL240" s="19"/>
      <c r="BM240" s="19"/>
      <c r="BN240" s="19"/>
      <c r="BP240" s="28"/>
    </row>
    <row r="241" spans="2:68" ht="12" hidden="1" customHeight="1">
      <c r="B241" s="218"/>
      <c r="C241" s="75"/>
      <c r="D241" s="19"/>
      <c r="E241" s="19"/>
      <c r="F241" s="19"/>
      <c r="G241" s="29"/>
      <c r="H241" s="28"/>
      <c r="I241" s="19"/>
      <c r="J241" s="19"/>
      <c r="K241" s="19"/>
      <c r="L241" s="29"/>
      <c r="M241" s="28"/>
      <c r="N241" s="19"/>
      <c r="O241" s="19"/>
      <c r="P241" s="19"/>
      <c r="Q241" s="29"/>
      <c r="R241" s="28"/>
      <c r="S241" s="19"/>
      <c r="T241" s="19"/>
      <c r="U241" s="19"/>
      <c r="V241" s="19"/>
      <c r="W241" s="28"/>
      <c r="X241" s="19"/>
      <c r="Y241" s="19"/>
      <c r="Z241" s="19"/>
      <c r="AA241" s="19"/>
      <c r="AB241" s="28"/>
      <c r="AC241" s="19"/>
      <c r="AD241" s="19"/>
      <c r="AG241" s="28"/>
      <c r="AH241" s="19"/>
      <c r="AI241" s="19"/>
      <c r="AJ241" s="19"/>
      <c r="AL241" s="28"/>
      <c r="AM241" s="19"/>
      <c r="AN241" s="19"/>
      <c r="AO241" s="19"/>
      <c r="AQ241" s="28"/>
      <c r="AR241" s="19"/>
      <c r="AS241" s="19"/>
      <c r="AT241" s="19"/>
      <c r="AV241" s="28"/>
      <c r="AW241" s="19"/>
      <c r="AX241" s="19"/>
      <c r="AY241" s="19"/>
      <c r="BA241" s="28"/>
      <c r="BB241" s="19"/>
      <c r="BC241" s="19"/>
      <c r="BD241" s="19"/>
      <c r="BF241" s="28"/>
      <c r="BG241" s="19"/>
      <c r="BH241" s="19"/>
      <c r="BI241" s="19"/>
      <c r="BK241" s="28"/>
      <c r="BL241" s="19"/>
      <c r="BM241" s="19"/>
      <c r="BN241" s="19"/>
      <c r="BP241" s="28"/>
    </row>
    <row r="242" spans="2:68" ht="12" hidden="1" customHeight="1">
      <c r="B242" s="218"/>
      <c r="C242" s="74" t="s">
        <v>421</v>
      </c>
      <c r="D242" s="19"/>
      <c r="E242" s="19"/>
      <c r="F242" s="19"/>
      <c r="G242" s="29"/>
      <c r="H242" s="28"/>
      <c r="I242" s="19"/>
      <c r="J242" s="19"/>
      <c r="K242" s="19"/>
      <c r="L242" s="29"/>
      <c r="M242" s="28"/>
      <c r="N242" s="19"/>
      <c r="O242" s="19"/>
      <c r="P242" s="19"/>
      <c r="Q242" s="29"/>
      <c r="R242" s="28"/>
      <c r="S242" s="19"/>
      <c r="T242" s="19"/>
      <c r="U242" s="19"/>
      <c r="V242" s="19"/>
      <c r="W242" s="28"/>
      <c r="X242" s="19"/>
      <c r="Y242" s="19"/>
      <c r="Z242" s="19"/>
      <c r="AA242" s="19"/>
      <c r="AB242" s="28"/>
      <c r="AC242" s="19"/>
      <c r="AD242" s="19"/>
      <c r="AG242" s="28"/>
      <c r="AH242" s="19"/>
      <c r="AI242" s="19"/>
      <c r="AJ242" s="19"/>
      <c r="AL242" s="28"/>
      <c r="AM242" s="19"/>
      <c r="AN242" s="19"/>
      <c r="AO242" s="19"/>
      <c r="AQ242" s="28"/>
      <c r="AR242" s="19"/>
      <c r="AS242" s="19"/>
      <c r="AT242" s="19"/>
      <c r="AV242" s="28"/>
      <c r="AW242" s="19"/>
      <c r="AX242" s="19"/>
      <c r="AY242" s="19"/>
      <c r="BA242" s="28"/>
      <c r="BB242" s="19"/>
      <c r="BC242" s="19"/>
      <c r="BD242" s="19"/>
      <c r="BF242" s="28"/>
      <c r="BG242" s="19"/>
      <c r="BH242" s="19"/>
      <c r="BI242" s="19"/>
      <c r="BK242" s="28"/>
      <c r="BL242" s="19"/>
      <c r="BM242" s="19"/>
      <c r="BN242" s="19"/>
      <c r="BP242" s="28"/>
    </row>
    <row r="243" spans="2:68" s="79" customFormat="1" ht="12" hidden="1" customHeight="1">
      <c r="B243" s="223"/>
      <c r="C243" s="75" t="s">
        <v>422</v>
      </c>
      <c r="D243" s="77">
        <v>274</v>
      </c>
      <c r="E243" s="77">
        <v>335</v>
      </c>
      <c r="F243" s="77">
        <v>265</v>
      </c>
      <c r="G243" s="78">
        <v>236</v>
      </c>
      <c r="H243" s="28">
        <v>236</v>
      </c>
      <c r="I243" s="77">
        <v>285</v>
      </c>
      <c r="J243" s="77">
        <v>298</v>
      </c>
      <c r="K243" s="77">
        <v>305</v>
      </c>
      <c r="L243" s="78">
        <v>303</v>
      </c>
      <c r="M243" s="28">
        <v>303</v>
      </c>
      <c r="N243" s="77">
        <v>304</v>
      </c>
      <c r="O243" s="77">
        <v>302</v>
      </c>
      <c r="P243" s="77">
        <v>302</v>
      </c>
      <c r="Q243" s="78">
        <v>318</v>
      </c>
      <c r="R243" s="28">
        <v>318</v>
      </c>
      <c r="S243" s="77">
        <v>366</v>
      </c>
      <c r="T243" s="77">
        <v>461</v>
      </c>
      <c r="U243" s="77">
        <v>366</v>
      </c>
      <c r="V243" s="77">
        <v>418</v>
      </c>
      <c r="W243" s="28">
        <v>418</v>
      </c>
      <c r="X243" s="77">
        <v>292</v>
      </c>
      <c r="Y243" s="77">
        <v>271</v>
      </c>
      <c r="Z243" s="77">
        <v>341</v>
      </c>
      <c r="AA243" s="77">
        <v>421</v>
      </c>
      <c r="AB243" s="28">
        <v>421</v>
      </c>
      <c r="AC243" s="77"/>
      <c r="AD243" s="77"/>
      <c r="AG243" s="28"/>
      <c r="AH243" s="77"/>
      <c r="AI243" s="77"/>
      <c r="AJ243" s="77"/>
      <c r="AL243" s="28"/>
      <c r="AM243" s="77"/>
      <c r="AN243" s="77"/>
      <c r="AO243" s="77"/>
      <c r="AQ243" s="28"/>
      <c r="AR243" s="77"/>
      <c r="AS243" s="77"/>
      <c r="AT243" s="77"/>
      <c r="AV243" s="28"/>
      <c r="AW243" s="77"/>
      <c r="AX243" s="77"/>
      <c r="AY243" s="77"/>
      <c r="BA243" s="28"/>
      <c r="BB243" s="77"/>
      <c r="BC243" s="77"/>
      <c r="BD243" s="77"/>
      <c r="BF243" s="28"/>
      <c r="BG243" s="77"/>
      <c r="BH243" s="77"/>
      <c r="BI243" s="77"/>
      <c r="BK243" s="28"/>
      <c r="BL243" s="77"/>
      <c r="BM243" s="77"/>
      <c r="BN243" s="77"/>
      <c r="BP243" s="28"/>
    </row>
    <row r="244" spans="2:68" s="79" customFormat="1" ht="12" hidden="1" customHeight="1">
      <c r="B244" s="223"/>
      <c r="C244" s="75" t="s">
        <v>423</v>
      </c>
      <c r="D244" s="77">
        <v>3410</v>
      </c>
      <c r="E244" s="77">
        <v>3685</v>
      </c>
      <c r="F244" s="77">
        <v>4164</v>
      </c>
      <c r="G244" s="78">
        <v>3956</v>
      </c>
      <c r="H244" s="28">
        <v>3956</v>
      </c>
      <c r="I244" s="77">
        <v>3597</v>
      </c>
      <c r="J244" s="77">
        <v>3476</v>
      </c>
      <c r="K244" s="77">
        <v>3365</v>
      </c>
      <c r="L244" s="78">
        <v>3836</v>
      </c>
      <c r="M244" s="28">
        <v>3836</v>
      </c>
      <c r="N244" s="77">
        <v>3561</v>
      </c>
      <c r="O244" s="77">
        <v>3640</v>
      </c>
      <c r="P244" s="77">
        <v>2775</v>
      </c>
      <c r="Q244" s="78">
        <v>1978</v>
      </c>
      <c r="R244" s="28">
        <v>1978</v>
      </c>
      <c r="S244" s="77">
        <v>2032</v>
      </c>
      <c r="T244" s="77">
        <v>1771</v>
      </c>
      <c r="U244" s="77">
        <v>1491</v>
      </c>
      <c r="V244" s="77">
        <v>1603</v>
      </c>
      <c r="W244" s="28">
        <v>1603</v>
      </c>
      <c r="X244" s="77">
        <v>1028</v>
      </c>
      <c r="Y244" s="77">
        <v>1376</v>
      </c>
      <c r="Z244" s="77">
        <v>1227</v>
      </c>
      <c r="AA244" s="77">
        <v>1631</v>
      </c>
      <c r="AB244" s="28">
        <v>1631</v>
      </c>
      <c r="AC244" s="77"/>
      <c r="AD244" s="77"/>
      <c r="AG244" s="28"/>
      <c r="AH244" s="77"/>
      <c r="AI244" s="77"/>
      <c r="AJ244" s="77"/>
      <c r="AL244" s="28"/>
      <c r="AM244" s="77"/>
      <c r="AN244" s="77"/>
      <c r="AO244" s="77"/>
      <c r="AQ244" s="28"/>
      <c r="AR244" s="77"/>
      <c r="AS244" s="77"/>
      <c r="AT244" s="77"/>
      <c r="AV244" s="28"/>
      <c r="AW244" s="77"/>
      <c r="AX244" s="77"/>
      <c r="AY244" s="77"/>
      <c r="BA244" s="28"/>
      <c r="BB244" s="77"/>
      <c r="BC244" s="77"/>
      <c r="BD244" s="77"/>
      <c r="BF244" s="28"/>
      <c r="BG244" s="77"/>
      <c r="BH244" s="77"/>
      <c r="BI244" s="77"/>
      <c r="BK244" s="28"/>
      <c r="BL244" s="77"/>
      <c r="BM244" s="77"/>
      <c r="BN244" s="77"/>
      <c r="BP244" s="28"/>
    </row>
    <row r="245" spans="2:68" ht="12" hidden="1" customHeight="1">
      <c r="B245" s="218"/>
      <c r="C245" s="3"/>
      <c r="D245" s="19"/>
      <c r="E245" s="19"/>
      <c r="F245" s="19"/>
      <c r="G245" s="29"/>
      <c r="H245" s="28"/>
      <c r="I245" s="19"/>
      <c r="J245" s="19"/>
      <c r="K245" s="19"/>
      <c r="L245" s="29"/>
      <c r="M245" s="28"/>
      <c r="N245" s="19"/>
      <c r="O245" s="19"/>
      <c r="P245" s="19"/>
      <c r="Q245" s="29"/>
      <c r="R245" s="28"/>
      <c r="S245" s="19"/>
      <c r="T245" s="19"/>
      <c r="U245" s="19"/>
      <c r="V245" s="19"/>
      <c r="W245" s="28"/>
      <c r="X245" s="19"/>
      <c r="Y245" s="19"/>
      <c r="Z245" s="19"/>
      <c r="AA245" s="19"/>
      <c r="AB245" s="28"/>
      <c r="AC245" s="19"/>
      <c r="AD245" s="19"/>
      <c r="AG245" s="28"/>
      <c r="AH245" s="19"/>
      <c r="AI245" s="19"/>
      <c r="AJ245" s="19"/>
      <c r="AL245" s="28"/>
      <c r="AM245" s="19"/>
      <c r="AN245" s="19"/>
      <c r="AO245" s="19"/>
      <c r="AQ245" s="28"/>
      <c r="AR245" s="19"/>
      <c r="AS245" s="19"/>
      <c r="AT245" s="19"/>
      <c r="AV245" s="28"/>
      <c r="AW245" s="19"/>
      <c r="AX245" s="19"/>
      <c r="AY245" s="19"/>
      <c r="BA245" s="28"/>
      <c r="BB245" s="19"/>
      <c r="BC245" s="19"/>
      <c r="BD245" s="19"/>
      <c r="BF245" s="28"/>
      <c r="BG245" s="19"/>
      <c r="BH245" s="19"/>
      <c r="BI245" s="19"/>
      <c r="BK245" s="28"/>
      <c r="BL245" s="19"/>
      <c r="BM245" s="19"/>
      <c r="BN245" s="19"/>
      <c r="BP245" s="28"/>
    </row>
    <row r="246" spans="2:68" ht="12" hidden="1" customHeight="1">
      <c r="B246" s="218"/>
      <c r="C246" s="74" t="s">
        <v>301</v>
      </c>
      <c r="D246" s="19">
        <f t="shared" ref="D246:N246" si="29">SUM(D243:D244)</f>
        <v>3684</v>
      </c>
      <c r="E246" s="19">
        <f t="shared" si="29"/>
        <v>4020</v>
      </c>
      <c r="F246" s="19">
        <f t="shared" si="29"/>
        <v>4429</v>
      </c>
      <c r="G246" s="19">
        <f t="shared" si="29"/>
        <v>4192</v>
      </c>
      <c r="H246" s="28">
        <v>4192</v>
      </c>
      <c r="I246" s="19">
        <f t="shared" si="29"/>
        <v>3882</v>
      </c>
      <c r="J246" s="19">
        <f t="shared" si="29"/>
        <v>3774</v>
      </c>
      <c r="K246" s="19">
        <f t="shared" si="29"/>
        <v>3670</v>
      </c>
      <c r="L246" s="19">
        <f t="shared" si="29"/>
        <v>4139</v>
      </c>
      <c r="M246" s="28">
        <v>4139</v>
      </c>
      <c r="N246" s="19">
        <f t="shared" si="29"/>
        <v>3865</v>
      </c>
      <c r="O246" s="19">
        <f>SUM(O243:O244)</f>
        <v>3942</v>
      </c>
      <c r="P246" s="19">
        <f>SUM(P243:P244)</f>
        <v>3077</v>
      </c>
      <c r="Q246" s="19">
        <f>SUM(Q243:Q244)</f>
        <v>2296</v>
      </c>
      <c r="R246" s="28">
        <v>2296</v>
      </c>
      <c r="S246" s="19">
        <f>SUM(S243:S244)</f>
        <v>2398</v>
      </c>
      <c r="T246" s="19">
        <f>SUM(T243:T244)</f>
        <v>2232</v>
      </c>
      <c r="U246" s="19">
        <f>SUM(U243:U244)</f>
        <v>1857</v>
      </c>
      <c r="V246" s="19">
        <v>2021</v>
      </c>
      <c r="W246" s="28">
        <v>2021</v>
      </c>
      <c r="X246" s="19">
        <v>1320</v>
      </c>
      <c r="Y246" s="19">
        <v>1647</v>
      </c>
      <c r="Z246" s="19">
        <v>1568</v>
      </c>
      <c r="AA246" s="19">
        <v>2052</v>
      </c>
      <c r="AB246" s="28">
        <v>2052</v>
      </c>
      <c r="AC246" s="19"/>
      <c r="AD246" s="19"/>
      <c r="AG246" s="28"/>
      <c r="AH246" s="19"/>
      <c r="AI246" s="19"/>
      <c r="AJ246" s="19"/>
      <c r="AL246" s="28"/>
      <c r="AM246" s="19"/>
      <c r="AN246" s="19"/>
      <c r="AO246" s="19"/>
      <c r="AQ246" s="28"/>
      <c r="AR246" s="19"/>
      <c r="AS246" s="19"/>
      <c r="AT246" s="19"/>
      <c r="AV246" s="28"/>
      <c r="AW246" s="19"/>
      <c r="AX246" s="19"/>
      <c r="AY246" s="19"/>
      <c r="BA246" s="28"/>
      <c r="BB246" s="19"/>
      <c r="BC246" s="19"/>
      <c r="BD246" s="19"/>
      <c r="BF246" s="28"/>
      <c r="BG246" s="19"/>
      <c r="BH246" s="19"/>
      <c r="BI246" s="19"/>
      <c r="BK246" s="28"/>
      <c r="BL246" s="19"/>
      <c r="BM246" s="19"/>
      <c r="BN246" s="19"/>
      <c r="BP246" s="28"/>
    </row>
    <row r="247" spans="2:68" ht="12" customHeight="1">
      <c r="B247" s="218"/>
      <c r="C247" s="74"/>
      <c r="D247" s="19"/>
      <c r="E247" s="19"/>
      <c r="F247" s="19"/>
      <c r="G247" s="19"/>
      <c r="H247" s="28"/>
      <c r="I247" s="19"/>
      <c r="J247" s="19"/>
      <c r="K247" s="19"/>
      <c r="L247" s="19"/>
      <c r="M247" s="28"/>
      <c r="N247" s="19"/>
      <c r="O247" s="19"/>
      <c r="P247" s="19"/>
      <c r="Q247" s="19"/>
      <c r="R247" s="28"/>
      <c r="S247" s="19"/>
      <c r="T247" s="19"/>
      <c r="U247" s="19"/>
      <c r="V247" s="19"/>
      <c r="W247" s="28"/>
      <c r="X247" s="19"/>
      <c r="Y247" s="19"/>
      <c r="Z247" s="19"/>
      <c r="AA247" s="19"/>
      <c r="AB247" s="28"/>
      <c r="AC247" s="19"/>
      <c r="AD247" s="19"/>
      <c r="AG247" s="28"/>
      <c r="AH247" s="19"/>
      <c r="AI247" s="19"/>
      <c r="AJ247" s="19"/>
      <c r="AL247" s="28"/>
      <c r="AM247" s="19"/>
      <c r="AN247" s="19"/>
      <c r="AO247" s="19"/>
      <c r="AQ247" s="28"/>
      <c r="AR247" s="19"/>
      <c r="AS247" s="19"/>
      <c r="AT247" s="19"/>
      <c r="AV247" s="28"/>
      <c r="AW247" s="19"/>
      <c r="AX247" s="19"/>
      <c r="AY247" s="19"/>
      <c r="BA247" s="28"/>
      <c r="BB247" s="19"/>
      <c r="BC247" s="19"/>
      <c r="BD247" s="19"/>
      <c r="BF247" s="28"/>
      <c r="BG247" s="19"/>
      <c r="BH247" s="19"/>
      <c r="BI247" s="19"/>
      <c r="BK247" s="28"/>
      <c r="BL247" s="19"/>
      <c r="BM247" s="19"/>
      <c r="BN247" s="19"/>
      <c r="BP247" s="28"/>
    </row>
    <row r="248" spans="2:68" ht="12" customHeight="1">
      <c r="B248" s="218">
        <v>14</v>
      </c>
      <c r="C248" s="73" t="s">
        <v>424</v>
      </c>
      <c r="D248" s="19"/>
      <c r="E248" s="19"/>
      <c r="F248" s="19"/>
      <c r="G248" s="19"/>
      <c r="H248" s="9"/>
      <c r="I248" s="19"/>
      <c r="J248" s="19"/>
      <c r="K248" s="19"/>
      <c r="L248" s="19"/>
      <c r="M248" s="9"/>
      <c r="N248" s="19"/>
      <c r="O248" s="19"/>
      <c r="P248" s="19"/>
      <c r="Q248" s="19"/>
      <c r="R248" s="9"/>
      <c r="S248" s="19"/>
      <c r="T248" s="19"/>
      <c r="U248" s="19"/>
      <c r="V248" s="19"/>
      <c r="W248" s="9"/>
      <c r="X248" s="19"/>
      <c r="Y248" s="19"/>
      <c r="Z248" s="19"/>
      <c r="AA248" s="19"/>
      <c r="AB248" s="9"/>
      <c r="AC248" s="19"/>
      <c r="AD248" s="19"/>
      <c r="AG248" s="9"/>
      <c r="AH248" s="8"/>
      <c r="AI248" s="8"/>
      <c r="AJ248" s="8"/>
      <c r="AK248" s="26"/>
      <c r="AL248" s="9">
        <v>1.133</v>
      </c>
      <c r="AM248" s="8">
        <v>1.2230000000000001</v>
      </c>
      <c r="AN248" s="8">
        <v>0.97099999999999997</v>
      </c>
      <c r="AO248" s="8">
        <v>0.92600000000000005</v>
      </c>
      <c r="AP248" s="26">
        <v>1.01</v>
      </c>
      <c r="AQ248" s="9">
        <v>1.0289999999999999</v>
      </c>
      <c r="AR248" s="8">
        <v>0.95199999999999996</v>
      </c>
      <c r="AS248" s="8">
        <v>0.78600000000000003</v>
      </c>
      <c r="AT248" s="8">
        <v>0.72</v>
      </c>
      <c r="AU248" s="26">
        <v>0.95699999999999996</v>
      </c>
      <c r="AV248" s="9">
        <v>0.85</v>
      </c>
      <c r="AW248" s="8">
        <v>0.96599999999999997</v>
      </c>
      <c r="AX248" s="8">
        <v>0.89200000000000002</v>
      </c>
      <c r="AY248" s="8">
        <v>0.90565281157421995</v>
      </c>
      <c r="AZ248" s="8">
        <v>0.88400000000000001</v>
      </c>
      <c r="BA248" s="9">
        <v>0.91</v>
      </c>
      <c r="BB248" s="412">
        <v>1.4319999999999999</v>
      </c>
      <c r="BC248" s="8">
        <v>1.0780000000000001</v>
      </c>
      <c r="BD248" s="8">
        <v>1.5660000000000001</v>
      </c>
      <c r="BE248" s="8">
        <v>1.0960000000000001</v>
      </c>
      <c r="BF248" s="9">
        <v>1.2929999999999999</v>
      </c>
      <c r="BG248" s="412">
        <v>1.093</v>
      </c>
      <c r="BH248" s="8">
        <v>1.3109999999999999</v>
      </c>
      <c r="BI248" s="8">
        <v>1.2250000000000001</v>
      </c>
      <c r="BJ248" s="8">
        <v>0.90600000000000003</v>
      </c>
      <c r="BK248" s="9">
        <v>1.1259999999999999</v>
      </c>
      <c r="BL248" s="412">
        <v>1.165</v>
      </c>
      <c r="BM248" s="8">
        <v>1.133</v>
      </c>
      <c r="BN248" s="8"/>
      <c r="BO248" s="8"/>
      <c r="BP248" s="9">
        <v>1.149</v>
      </c>
    </row>
    <row r="249" spans="2:68" ht="12" customHeight="1">
      <c r="B249" s="218"/>
      <c r="C249" s="73"/>
      <c r="D249" s="19"/>
      <c r="E249" s="19"/>
      <c r="F249" s="19"/>
      <c r="G249" s="19"/>
      <c r="H249" s="9"/>
      <c r="I249" s="19"/>
      <c r="J249" s="19"/>
      <c r="K249" s="19"/>
      <c r="L249" s="19"/>
      <c r="M249" s="9"/>
      <c r="N249" s="19"/>
      <c r="O249" s="19"/>
      <c r="P249" s="19"/>
      <c r="Q249" s="19"/>
      <c r="R249" s="9"/>
      <c r="S249" s="19"/>
      <c r="T249" s="19"/>
      <c r="U249" s="19"/>
      <c r="V249" s="19"/>
      <c r="W249" s="9"/>
      <c r="X249" s="19"/>
      <c r="Y249" s="19"/>
      <c r="Z249" s="19"/>
      <c r="AA249" s="19"/>
      <c r="AB249" s="9"/>
      <c r="AC249" s="19"/>
      <c r="AD249" s="19"/>
      <c r="AG249" s="9"/>
      <c r="AH249" s="8"/>
      <c r="AI249" s="8"/>
      <c r="AJ249" s="8"/>
      <c r="AK249" s="26"/>
      <c r="AL249" s="9"/>
      <c r="AM249" s="8"/>
      <c r="AN249" s="8"/>
      <c r="AO249" s="8"/>
      <c r="AP249" s="26"/>
      <c r="AQ249" s="9"/>
      <c r="AR249" s="8"/>
      <c r="AS249" s="8"/>
      <c r="AT249" s="8"/>
      <c r="AU249" s="26"/>
      <c r="AV249" s="9"/>
      <c r="AW249" s="8"/>
      <c r="AX249" s="8"/>
      <c r="AY249" s="8"/>
      <c r="AZ249" s="8"/>
      <c r="BA249" s="9"/>
      <c r="BB249" s="412"/>
      <c r="BC249" s="8"/>
      <c r="BD249" s="8"/>
      <c r="BE249" s="8"/>
      <c r="BF249" s="9"/>
      <c r="BG249" s="412"/>
      <c r="BH249" s="8"/>
      <c r="BI249" s="8"/>
      <c r="BJ249" s="8"/>
      <c r="BK249" s="9"/>
      <c r="BL249" s="412"/>
      <c r="BM249" s="8"/>
      <c r="BN249" s="8"/>
      <c r="BO249" s="8"/>
      <c r="BP249" s="9"/>
    </row>
    <row r="250" spans="2:68" s="39" customFormat="1" ht="12" customHeight="1">
      <c r="B250" s="218">
        <v>15</v>
      </c>
      <c r="C250" s="409" t="s">
        <v>425</v>
      </c>
      <c r="D250" s="23">
        <v>0</v>
      </c>
      <c r="E250" s="424">
        <f t="shared" ref="E250:BF250" si="30">E251+E252</f>
        <v>3.75</v>
      </c>
      <c r="F250" s="23">
        <v>0</v>
      </c>
      <c r="G250" s="424">
        <f t="shared" si="30"/>
        <v>7.38</v>
      </c>
      <c r="H250" s="428">
        <f t="shared" si="30"/>
        <v>11.129999999999999</v>
      </c>
      <c r="I250" s="23">
        <v>0</v>
      </c>
      <c r="J250" s="424">
        <f t="shared" si="30"/>
        <v>5</v>
      </c>
      <c r="K250" s="23">
        <v>0</v>
      </c>
      <c r="L250" s="424">
        <f t="shared" si="30"/>
        <v>7.13</v>
      </c>
      <c r="M250" s="428">
        <f t="shared" si="30"/>
        <v>12.129999999999999</v>
      </c>
      <c r="N250" s="23">
        <v>0</v>
      </c>
      <c r="O250" s="424">
        <f t="shared" si="30"/>
        <v>5.5</v>
      </c>
      <c r="P250" s="23">
        <v>0</v>
      </c>
      <c r="Q250" s="424">
        <f t="shared" si="30"/>
        <v>7.38</v>
      </c>
      <c r="R250" s="428">
        <f t="shared" si="30"/>
        <v>12.879999999999999</v>
      </c>
      <c r="S250" s="23">
        <v>0</v>
      </c>
      <c r="T250" s="424">
        <f t="shared" si="30"/>
        <v>6.5</v>
      </c>
      <c r="U250" s="23">
        <v>0</v>
      </c>
      <c r="V250" s="424">
        <f t="shared" si="30"/>
        <v>15.25</v>
      </c>
      <c r="W250" s="428">
        <f t="shared" si="30"/>
        <v>21.75</v>
      </c>
      <c r="X250" s="23">
        <v>0</v>
      </c>
      <c r="Y250" s="424">
        <f t="shared" si="30"/>
        <v>7</v>
      </c>
      <c r="Z250" s="424">
        <f t="shared" si="30"/>
        <v>4</v>
      </c>
      <c r="AA250" s="424">
        <f t="shared" si="30"/>
        <v>10.5</v>
      </c>
      <c r="AB250" s="428">
        <f t="shared" si="30"/>
        <v>21.5</v>
      </c>
      <c r="AC250" s="23">
        <v>0</v>
      </c>
      <c r="AD250" s="424">
        <f t="shared" si="30"/>
        <v>8</v>
      </c>
      <c r="AE250" s="23">
        <v>0</v>
      </c>
      <c r="AF250" s="425">
        <f t="shared" si="30"/>
        <v>9.5</v>
      </c>
      <c r="AG250" s="428">
        <f t="shared" si="30"/>
        <v>17.5</v>
      </c>
      <c r="AH250" s="23">
        <v>0</v>
      </c>
      <c r="AI250" s="426">
        <f t="shared" si="30"/>
        <v>12</v>
      </c>
      <c r="AJ250" s="23">
        <v>0</v>
      </c>
      <c r="AK250" s="427">
        <f t="shared" si="30"/>
        <v>15</v>
      </c>
      <c r="AL250" s="428">
        <f t="shared" si="30"/>
        <v>27</v>
      </c>
      <c r="AM250" s="23">
        <v>0</v>
      </c>
      <c r="AN250" s="426">
        <f t="shared" si="30"/>
        <v>15</v>
      </c>
      <c r="AO250" s="23">
        <v>0</v>
      </c>
      <c r="AP250" s="427">
        <f t="shared" si="30"/>
        <v>16</v>
      </c>
      <c r="AQ250" s="428">
        <f t="shared" si="30"/>
        <v>31</v>
      </c>
      <c r="AR250" s="23">
        <v>0</v>
      </c>
      <c r="AS250" s="426">
        <f t="shared" si="30"/>
        <v>16.5</v>
      </c>
      <c r="AT250" s="23">
        <v>0</v>
      </c>
      <c r="AU250" s="427">
        <f t="shared" si="30"/>
        <v>17.5</v>
      </c>
      <c r="AV250" s="428">
        <f t="shared" si="30"/>
        <v>34</v>
      </c>
      <c r="AW250" s="23">
        <v>0</v>
      </c>
      <c r="AX250" s="426">
        <f t="shared" si="30"/>
        <v>18</v>
      </c>
      <c r="AY250" s="23">
        <v>0</v>
      </c>
      <c r="AZ250" s="426">
        <f t="shared" si="30"/>
        <v>28</v>
      </c>
      <c r="BA250" s="428">
        <f>BA251+BA252</f>
        <v>46</v>
      </c>
      <c r="BB250" s="23">
        <v>0</v>
      </c>
      <c r="BC250" s="426">
        <f t="shared" si="30"/>
        <v>21</v>
      </c>
      <c r="BD250" s="23">
        <v>0</v>
      </c>
      <c r="BE250" s="426">
        <f>BE251+BE252</f>
        <v>22</v>
      </c>
      <c r="BF250" s="428">
        <f t="shared" si="30"/>
        <v>43</v>
      </c>
      <c r="BG250" s="23">
        <v>0</v>
      </c>
      <c r="BH250" s="416">
        <f>BH251+BH252</f>
        <v>23</v>
      </c>
      <c r="BI250" s="23">
        <v>0</v>
      </c>
      <c r="BJ250" s="416">
        <f>BJ251+BJ252</f>
        <v>25</v>
      </c>
      <c r="BK250" s="428">
        <f>BK251+BK252</f>
        <v>48</v>
      </c>
      <c r="BL250" s="19">
        <v>0</v>
      </c>
      <c r="BM250" s="416">
        <f>BM251+BM252</f>
        <v>26</v>
      </c>
      <c r="BN250" s="23"/>
      <c r="BO250" s="426"/>
      <c r="BP250" s="471">
        <f>SUM(BL250:BO250)</f>
        <v>26</v>
      </c>
    </row>
    <row r="251" spans="2:68" s="415" customFormat="1" ht="12" customHeight="1">
      <c r="B251" s="419"/>
      <c r="C251" s="420" t="s">
        <v>426</v>
      </c>
      <c r="D251" s="19">
        <v>0</v>
      </c>
      <c r="E251" s="414">
        <v>3.75</v>
      </c>
      <c r="F251" s="19">
        <v>0</v>
      </c>
      <c r="G251" s="414">
        <v>7.38</v>
      </c>
      <c r="H251" s="418">
        <f>SUM(D251:G251)</f>
        <v>11.129999999999999</v>
      </c>
      <c r="I251" s="19">
        <v>0</v>
      </c>
      <c r="J251" s="414">
        <v>5</v>
      </c>
      <c r="K251" s="19">
        <v>0</v>
      </c>
      <c r="L251" s="414">
        <v>7.13</v>
      </c>
      <c r="M251" s="418">
        <f>SUM(I251:L251)</f>
        <v>12.129999999999999</v>
      </c>
      <c r="N251" s="19">
        <v>0</v>
      </c>
      <c r="O251" s="414">
        <v>5.5</v>
      </c>
      <c r="P251" s="19">
        <v>0</v>
      </c>
      <c r="Q251" s="414">
        <v>7.38</v>
      </c>
      <c r="R251" s="418">
        <f>SUM(N251:Q251)</f>
        <v>12.879999999999999</v>
      </c>
      <c r="S251" s="19">
        <v>0</v>
      </c>
      <c r="T251" s="414">
        <v>6.5</v>
      </c>
      <c r="U251" s="19">
        <v>0</v>
      </c>
      <c r="V251" s="414">
        <v>10.25</v>
      </c>
      <c r="W251" s="418">
        <f>SUM(S251:V251)</f>
        <v>16.75</v>
      </c>
      <c r="X251" s="19">
        <v>0</v>
      </c>
      <c r="Y251" s="414">
        <v>7</v>
      </c>
      <c r="Z251" s="19">
        <v>0</v>
      </c>
      <c r="AA251" s="414">
        <v>10.5</v>
      </c>
      <c r="AB251" s="418">
        <f>SUM(X251:AA251)</f>
        <v>17.5</v>
      </c>
      <c r="AC251" s="19">
        <v>0</v>
      </c>
      <c r="AD251" s="414">
        <v>8</v>
      </c>
      <c r="AE251" s="19">
        <v>0</v>
      </c>
      <c r="AF251" s="415">
        <v>9.5</v>
      </c>
      <c r="AG251" s="418">
        <f>SUM(AC251:AF251)</f>
        <v>17.5</v>
      </c>
      <c r="AH251" s="19">
        <v>0</v>
      </c>
      <c r="AI251" s="416">
        <v>12</v>
      </c>
      <c r="AJ251" s="19">
        <v>0</v>
      </c>
      <c r="AK251" s="417">
        <v>15</v>
      </c>
      <c r="AL251" s="418">
        <f>SUM(AH251:AK251)</f>
        <v>27</v>
      </c>
      <c r="AM251" s="19">
        <v>0</v>
      </c>
      <c r="AN251" s="416">
        <v>15</v>
      </c>
      <c r="AO251" s="19">
        <v>0</v>
      </c>
      <c r="AP251" s="417">
        <v>16</v>
      </c>
      <c r="AQ251" s="418">
        <f>SUM(AM251:AP251)</f>
        <v>31</v>
      </c>
      <c r="AR251" s="19">
        <v>0</v>
      </c>
      <c r="AS251" s="416">
        <v>16.5</v>
      </c>
      <c r="AT251" s="19">
        <v>0</v>
      </c>
      <c r="AU251" s="417">
        <v>17.5</v>
      </c>
      <c r="AV251" s="418">
        <f>SUM(AR251:AU251)</f>
        <v>34</v>
      </c>
      <c r="AW251" s="19">
        <v>0</v>
      </c>
      <c r="AX251" s="416">
        <v>18</v>
      </c>
      <c r="AY251" s="19">
        <v>0</v>
      </c>
      <c r="AZ251" s="416">
        <v>20</v>
      </c>
      <c r="BA251" s="418">
        <f>SUM(AW251:AZ251)</f>
        <v>38</v>
      </c>
      <c r="BB251" s="19">
        <v>0</v>
      </c>
      <c r="BC251" s="416">
        <v>21</v>
      </c>
      <c r="BD251" s="19">
        <v>0</v>
      </c>
      <c r="BE251" s="416">
        <v>22</v>
      </c>
      <c r="BF251" s="418">
        <f>SUM(BB251:BE251)</f>
        <v>43</v>
      </c>
      <c r="BG251" s="19">
        <v>0</v>
      </c>
      <c r="BH251" s="416">
        <v>23</v>
      </c>
      <c r="BI251" s="19">
        <v>0</v>
      </c>
      <c r="BJ251" s="416">
        <v>25</v>
      </c>
      <c r="BK251" s="418">
        <f>SUM(BG251:BJ251)</f>
        <v>48</v>
      </c>
      <c r="BL251" s="19">
        <v>0</v>
      </c>
      <c r="BM251" s="416">
        <v>26</v>
      </c>
      <c r="BN251" s="19"/>
      <c r="BO251" s="416"/>
      <c r="BP251" s="66">
        <f>SUM(BL251:BO251)</f>
        <v>26</v>
      </c>
    </row>
    <row r="252" spans="2:68" s="415" customFormat="1" ht="12" customHeight="1">
      <c r="B252" s="419"/>
      <c r="C252" s="420" t="s">
        <v>427</v>
      </c>
      <c r="D252" s="19">
        <v>0</v>
      </c>
      <c r="E252" s="19">
        <v>0</v>
      </c>
      <c r="F252" s="19">
        <v>0</v>
      </c>
      <c r="G252" s="19">
        <v>0</v>
      </c>
      <c r="H252" s="66">
        <f>SUM(D252:G252)</f>
        <v>0</v>
      </c>
      <c r="I252" s="19">
        <v>0</v>
      </c>
      <c r="J252" s="19">
        <v>0</v>
      </c>
      <c r="K252" s="19">
        <v>0</v>
      </c>
      <c r="L252" s="19">
        <v>0</v>
      </c>
      <c r="M252" s="66">
        <f>SUM(I252:L252)</f>
        <v>0</v>
      </c>
      <c r="N252" s="19">
        <v>0</v>
      </c>
      <c r="O252" s="19">
        <v>0</v>
      </c>
      <c r="P252" s="19">
        <v>0</v>
      </c>
      <c r="Q252" s="19">
        <v>0</v>
      </c>
      <c r="R252" s="66">
        <f>SUM(N252:Q252)</f>
        <v>0</v>
      </c>
      <c r="S252" s="19">
        <v>0</v>
      </c>
      <c r="T252" s="19">
        <v>0</v>
      </c>
      <c r="U252" s="19">
        <v>0</v>
      </c>
      <c r="V252" s="414">
        <v>5</v>
      </c>
      <c r="W252" s="66">
        <f>SUM(S252:V252)</f>
        <v>5</v>
      </c>
      <c r="X252" s="19">
        <v>0</v>
      </c>
      <c r="Y252" s="19">
        <v>0</v>
      </c>
      <c r="Z252" s="414">
        <v>4</v>
      </c>
      <c r="AA252" s="19">
        <v>0</v>
      </c>
      <c r="AB252" s="66">
        <f>SUM(X252:AA252)</f>
        <v>4</v>
      </c>
      <c r="AC252" s="19">
        <v>0</v>
      </c>
      <c r="AD252" s="19">
        <v>0</v>
      </c>
      <c r="AE252" s="19">
        <v>0</v>
      </c>
      <c r="AF252" s="19">
        <v>0</v>
      </c>
      <c r="AG252" s="66">
        <f>SUM(AC252:AF252)</f>
        <v>0</v>
      </c>
      <c r="AH252" s="19">
        <v>0</v>
      </c>
      <c r="AI252" s="19">
        <v>0</v>
      </c>
      <c r="AJ252" s="19">
        <v>0</v>
      </c>
      <c r="AK252" s="19">
        <v>0</v>
      </c>
      <c r="AL252" s="66">
        <f>SUM(AH252:AK252)</f>
        <v>0</v>
      </c>
      <c r="AM252" s="19">
        <v>0</v>
      </c>
      <c r="AN252" s="19">
        <v>0</v>
      </c>
      <c r="AO252" s="19">
        <v>0</v>
      </c>
      <c r="AP252" s="19">
        <v>0</v>
      </c>
      <c r="AQ252" s="66">
        <f>SUM(AM252:AP252)</f>
        <v>0</v>
      </c>
      <c r="AR252" s="19">
        <v>0</v>
      </c>
      <c r="AS252" s="19">
        <v>0</v>
      </c>
      <c r="AT252" s="19">
        <v>0</v>
      </c>
      <c r="AU252" s="19">
        <v>0</v>
      </c>
      <c r="AV252" s="66">
        <f>SUM(AR252:AU252)</f>
        <v>0</v>
      </c>
      <c r="AW252" s="19">
        <v>0</v>
      </c>
      <c r="AX252" s="19">
        <v>0</v>
      </c>
      <c r="AY252" s="19">
        <v>0</v>
      </c>
      <c r="AZ252" s="416">
        <v>8</v>
      </c>
      <c r="BA252" s="66">
        <f>SUM(AW252:AZ252)</f>
        <v>8</v>
      </c>
      <c r="BB252" s="19">
        <v>0</v>
      </c>
      <c r="BC252" s="19">
        <v>0</v>
      </c>
      <c r="BD252" s="19">
        <v>0</v>
      </c>
      <c r="BE252" s="19">
        <v>0</v>
      </c>
      <c r="BF252" s="66">
        <f>SUM(BB252:BE252)</f>
        <v>0</v>
      </c>
      <c r="BG252" s="19">
        <v>0</v>
      </c>
      <c r="BH252" s="439">
        <v>0</v>
      </c>
      <c r="BI252" s="19">
        <v>0</v>
      </c>
      <c r="BJ252" s="19">
        <v>0</v>
      </c>
      <c r="BK252" s="66">
        <f>SUM(BG252:BJ252)</f>
        <v>0</v>
      </c>
      <c r="BL252" s="19">
        <v>0</v>
      </c>
      <c r="BM252" s="439">
        <v>0</v>
      </c>
      <c r="BN252" s="19"/>
      <c r="BO252" s="19"/>
      <c r="BP252" s="66">
        <f>SUM(BL252:BO252)</f>
        <v>0</v>
      </c>
    </row>
    <row r="253" spans="2:68" ht="12" customHeight="1">
      <c r="B253" s="218"/>
      <c r="C253" s="413"/>
      <c r="D253" s="19"/>
      <c r="E253" s="19"/>
      <c r="F253" s="19"/>
      <c r="G253" s="19"/>
      <c r="H253" s="28"/>
      <c r="I253" s="19"/>
      <c r="J253" s="19"/>
      <c r="K253" s="19"/>
      <c r="L253" s="19"/>
      <c r="M253" s="28"/>
      <c r="N253" s="19"/>
      <c r="O253" s="19"/>
      <c r="P253" s="19"/>
      <c r="Q253" s="19"/>
      <c r="R253" s="28"/>
      <c r="S253" s="19"/>
      <c r="T253" s="19"/>
      <c r="U253" s="19"/>
      <c r="V253" s="19"/>
      <c r="W253" s="28"/>
      <c r="X253" s="19"/>
      <c r="Y253" s="19"/>
      <c r="Z253" s="19"/>
      <c r="AA253" s="19"/>
      <c r="AB253" s="28"/>
      <c r="AC253" s="19"/>
      <c r="AD253" s="19"/>
      <c r="AG253" s="28"/>
      <c r="AH253" s="8"/>
      <c r="AI253" s="8"/>
      <c r="AJ253" s="8"/>
      <c r="AK253" s="26"/>
      <c r="AL253" s="28"/>
      <c r="AM253" s="8"/>
      <c r="AN253" s="8"/>
      <c r="AO253" s="8"/>
      <c r="AP253" s="26"/>
      <c r="AQ253" s="28"/>
      <c r="AR253" s="8"/>
      <c r="AS253" s="8"/>
      <c r="AT253" s="8"/>
      <c r="AU253" s="26"/>
      <c r="AV253" s="28"/>
      <c r="AW253" s="8"/>
      <c r="AX253" s="8"/>
      <c r="AY253" s="8"/>
      <c r="AZ253" s="8"/>
      <c r="BA253" s="28"/>
      <c r="BB253" s="412"/>
      <c r="BC253" s="8"/>
      <c r="BD253" s="8"/>
      <c r="BE253" s="8"/>
      <c r="BF253" s="28"/>
      <c r="BG253" s="412"/>
      <c r="BH253" s="8"/>
      <c r="BI253" s="8"/>
      <c r="BJ253" s="8"/>
      <c r="BK253" s="28"/>
      <c r="BL253" s="412"/>
      <c r="BM253" s="8"/>
      <c r="BN253" s="8"/>
      <c r="BO253" s="8"/>
      <c r="BP253" s="28"/>
    </row>
    <row r="254" spans="2:68">
      <c r="B254" s="410"/>
      <c r="C254" s="404" t="s">
        <v>428</v>
      </c>
      <c r="D254" s="402"/>
      <c r="E254" s="402"/>
      <c r="F254" s="402"/>
      <c r="G254" s="402"/>
      <c r="H254" s="402"/>
      <c r="I254" s="402"/>
      <c r="J254" s="402"/>
      <c r="K254" s="402"/>
      <c r="L254" s="402"/>
      <c r="M254" s="402"/>
      <c r="N254" s="402"/>
      <c r="O254" s="402"/>
      <c r="P254" s="402"/>
      <c r="Q254" s="402"/>
      <c r="R254" s="402"/>
      <c r="S254" s="402"/>
      <c r="T254" s="402"/>
      <c r="U254" s="402"/>
      <c r="V254" s="402"/>
      <c r="W254" s="402"/>
      <c r="X254" s="402"/>
      <c r="Y254" s="402"/>
      <c r="Z254" s="402"/>
      <c r="AA254" s="402"/>
      <c r="AB254" s="402"/>
      <c r="AC254" s="402"/>
      <c r="AD254" s="402"/>
      <c r="AE254" s="402"/>
      <c r="AF254" s="402"/>
      <c r="AG254" s="402"/>
      <c r="AH254" s="402"/>
      <c r="AI254" s="402"/>
      <c r="AJ254" s="402"/>
      <c r="AK254" s="402"/>
      <c r="AL254" s="402"/>
      <c r="AM254" s="402"/>
      <c r="AN254" s="402"/>
      <c r="AO254" s="402"/>
      <c r="AP254" s="402"/>
      <c r="AQ254" s="402"/>
      <c r="AR254" s="402"/>
      <c r="AS254" s="402"/>
      <c r="AT254" s="402"/>
      <c r="AU254" s="402"/>
      <c r="AV254" s="402"/>
      <c r="AW254" s="402"/>
      <c r="AX254" s="402"/>
      <c r="AY254" s="402"/>
      <c r="AZ254" s="402"/>
      <c r="BA254" s="402"/>
      <c r="BB254" s="411"/>
      <c r="BC254" s="402"/>
      <c r="BD254" s="402"/>
      <c r="BE254" s="402"/>
      <c r="BF254" s="402"/>
      <c r="BG254" s="411"/>
      <c r="BH254" s="402"/>
      <c r="BI254" s="402"/>
      <c r="BJ254" s="402"/>
      <c r="BK254" s="402"/>
      <c r="BL254" s="411"/>
      <c r="BM254" s="402"/>
      <c r="BN254" s="402"/>
      <c r="BO254" s="402"/>
      <c r="BP254" s="402"/>
    </row>
    <row r="255" spans="2:68">
      <c r="C255" s="39"/>
      <c r="AC255" s="358"/>
      <c r="AH255" s="358"/>
      <c r="AM255" s="358"/>
      <c r="AR255" s="358"/>
      <c r="AW255" s="358"/>
      <c r="BB255" s="358"/>
      <c r="BG255" s="358"/>
      <c r="BL255" s="358"/>
    </row>
    <row r="256" spans="2:68">
      <c r="C256" s="81" t="s">
        <v>429</v>
      </c>
    </row>
    <row r="257" spans="3:3">
      <c r="C257" s="16" t="s">
        <v>430</v>
      </c>
    </row>
    <row r="258" spans="3:3">
      <c r="C258" s="16" t="s">
        <v>431</v>
      </c>
    </row>
    <row r="259" spans="3:3">
      <c r="C259" s="16" t="s">
        <v>432</v>
      </c>
    </row>
    <row r="260" spans="3:3">
      <c r="C260" s="16" t="s">
        <v>433</v>
      </c>
    </row>
    <row r="261" spans="3:3">
      <c r="C261" s="16" t="s">
        <v>434</v>
      </c>
    </row>
    <row r="262" spans="3:3">
      <c r="C262" s="16" t="s">
        <v>435</v>
      </c>
    </row>
    <row r="263" spans="3:3">
      <c r="C263" s="16" t="s">
        <v>436</v>
      </c>
    </row>
  </sheetData>
  <hyperlinks>
    <hyperlink ref="C1" location="Index!A1" display="Index" xr:uid="{8427FE74-325A-4E9A-A587-F71406D5EA6A}"/>
  </hyperlinks>
  <pageMargins left="0.25" right="0.25" top="0.75" bottom="0.75" header="0.3" footer="0.3"/>
  <pageSetup paperSize="9" scale="66" fitToHeight="0" orientation="portrait" r:id="rId1"/>
  <headerFooter alignWithMargins="0">
    <oddHeader>&amp;COperating Metrics</oddHeader>
  </headerFooter>
  <rowBreaks count="1" manualBreakCount="1">
    <brk id="185" min="1" max="67" man="1"/>
  </rowBreaks>
  <customProperties>
    <customPr name="_pios_id" r:id="rId2"/>
    <customPr name="EpmWorksheetKeyString_GUID" r:id="rId3"/>
  </customProperties>
  <ignoredErrors>
    <ignoredError sqref="BP225 BP230 BP227:BP228" formulaRange="1"/>
  </ignoredErrors>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638C-36A9-466E-B440-8A6667F0DD19}">
  <sheetPr codeName="Sheet9">
    <pageSetUpPr fitToPage="1"/>
  </sheetPr>
  <dimension ref="B1:L442"/>
  <sheetViews>
    <sheetView showGridLines="0" zoomScale="93" zoomScaleNormal="93" workbookViewId="0"/>
  </sheetViews>
  <sheetFormatPr defaultColWidth="9.1796875" defaultRowHeight="12"/>
  <cols>
    <col min="1" max="1" width="3.81640625" style="16" customWidth="1"/>
    <col min="2" max="2" width="22.81640625" style="16" customWidth="1"/>
    <col min="3" max="11" width="12.81640625" style="16" customWidth="1"/>
    <col min="12" max="16384" width="9.1796875" style="16"/>
  </cols>
  <sheetData>
    <row r="1" spans="2:11">
      <c r="B1" s="264" t="s">
        <v>437</v>
      </c>
    </row>
    <row r="2" spans="2:11" hidden="1">
      <c r="B2" s="264"/>
    </row>
    <row r="3" spans="2:11">
      <c r="B3" s="369" t="s">
        <v>438</v>
      </c>
      <c r="C3" s="370"/>
      <c r="D3" s="370"/>
      <c r="E3" s="370"/>
      <c r="F3" s="370"/>
      <c r="G3" s="370"/>
      <c r="H3" s="370"/>
      <c r="I3" s="370"/>
      <c r="J3" s="370"/>
      <c r="K3" s="371" t="s">
        <v>439</v>
      </c>
    </row>
    <row r="4" spans="2:11" ht="36">
      <c r="B4" s="372" t="s">
        <v>262</v>
      </c>
      <c r="C4" s="373" t="s">
        <v>398</v>
      </c>
      <c r="D4" s="373" t="s">
        <v>399</v>
      </c>
      <c r="E4" s="373" t="s">
        <v>440</v>
      </c>
      <c r="F4" s="373" t="s">
        <v>441</v>
      </c>
      <c r="G4" s="373" t="s">
        <v>402</v>
      </c>
      <c r="H4" s="373" t="s">
        <v>403</v>
      </c>
      <c r="I4" s="373" t="s">
        <v>404</v>
      </c>
      <c r="J4" s="373" t="s">
        <v>405</v>
      </c>
      <c r="K4" s="374" t="s">
        <v>301</v>
      </c>
    </row>
    <row r="5" spans="2:11">
      <c r="B5" s="375" t="s">
        <v>442</v>
      </c>
      <c r="C5" s="370"/>
      <c r="D5" s="370"/>
      <c r="E5" s="370"/>
      <c r="F5" s="370"/>
      <c r="G5" s="370"/>
      <c r="H5" s="370"/>
      <c r="I5" s="370"/>
      <c r="J5" s="370"/>
      <c r="K5" s="376"/>
    </row>
    <row r="6" spans="2:11">
      <c r="B6" s="377" t="s">
        <v>297</v>
      </c>
      <c r="C6" s="19">
        <v>3488</v>
      </c>
      <c r="D6" s="19">
        <v>1825</v>
      </c>
      <c r="E6" s="19">
        <v>1354</v>
      </c>
      <c r="F6" s="19">
        <v>1234</v>
      </c>
      <c r="G6" s="19">
        <v>938</v>
      </c>
      <c r="H6" s="19">
        <v>1378</v>
      </c>
      <c r="I6" s="19">
        <v>910</v>
      </c>
      <c r="J6" s="19">
        <v>135</v>
      </c>
      <c r="K6" s="25">
        <f>SUM(C6:J6)</f>
        <v>11262</v>
      </c>
    </row>
    <row r="7" spans="2:11">
      <c r="B7" s="377" t="s">
        <v>298</v>
      </c>
      <c r="C7" s="19">
        <v>915</v>
      </c>
      <c r="D7" s="19">
        <v>663</v>
      </c>
      <c r="E7" s="19">
        <v>477</v>
      </c>
      <c r="F7" s="19">
        <v>868</v>
      </c>
      <c r="G7" s="19">
        <v>1348</v>
      </c>
      <c r="H7" s="19">
        <v>34</v>
      </c>
      <c r="I7" s="19">
        <v>320</v>
      </c>
      <c r="J7" s="19">
        <v>45</v>
      </c>
      <c r="K7" s="25">
        <f>SUM(C7:J7)</f>
        <v>4670</v>
      </c>
    </row>
    <row r="8" spans="2:11">
      <c r="B8" s="377" t="s">
        <v>443</v>
      </c>
      <c r="C8" s="19">
        <v>237</v>
      </c>
      <c r="D8" s="19">
        <v>9</v>
      </c>
      <c r="E8" s="19">
        <v>20</v>
      </c>
      <c r="F8" s="19">
        <v>26</v>
      </c>
      <c r="G8" s="19">
        <v>11</v>
      </c>
      <c r="H8" s="19">
        <v>52</v>
      </c>
      <c r="I8" s="19">
        <v>3</v>
      </c>
      <c r="J8" s="19">
        <v>120</v>
      </c>
      <c r="K8" s="25">
        <f>SUM(C8:J8)</f>
        <v>478</v>
      </c>
    </row>
    <row r="9" spans="2:11">
      <c r="B9" s="377" t="s">
        <v>444</v>
      </c>
      <c r="C9" s="19">
        <v>794</v>
      </c>
      <c r="D9" s="19">
        <v>135</v>
      </c>
      <c r="E9" s="19">
        <v>395</v>
      </c>
      <c r="F9" s="19">
        <v>172</v>
      </c>
      <c r="G9" s="19">
        <v>60</v>
      </c>
      <c r="H9" s="19">
        <v>8</v>
      </c>
      <c r="I9" s="19">
        <v>18</v>
      </c>
      <c r="J9" s="19">
        <v>220</v>
      </c>
      <c r="K9" s="25">
        <f>SUM(C9:J9)</f>
        <v>1802</v>
      </c>
    </row>
    <row r="10" spans="2:11">
      <c r="B10" s="378" t="s">
        <v>301</v>
      </c>
      <c r="C10" s="284">
        <f t="shared" ref="C10:K10" si="0">SUM(C6:C9)</f>
        <v>5434</v>
      </c>
      <c r="D10" s="284">
        <f t="shared" si="0"/>
        <v>2632</v>
      </c>
      <c r="E10" s="284">
        <f t="shared" si="0"/>
        <v>2246</v>
      </c>
      <c r="F10" s="284">
        <f t="shared" si="0"/>
        <v>2300</v>
      </c>
      <c r="G10" s="284">
        <f t="shared" si="0"/>
        <v>2357</v>
      </c>
      <c r="H10" s="284">
        <f t="shared" si="0"/>
        <v>1472</v>
      </c>
      <c r="I10" s="284">
        <f t="shared" si="0"/>
        <v>1251</v>
      </c>
      <c r="J10" s="284">
        <f t="shared" si="0"/>
        <v>520</v>
      </c>
      <c r="K10" s="367">
        <f t="shared" si="0"/>
        <v>18212</v>
      </c>
    </row>
    <row r="11" spans="2:11">
      <c r="B11" s="379"/>
      <c r="C11" s="26">
        <f>C6/C10</f>
        <v>0.64188443135811557</v>
      </c>
      <c r="D11" s="26">
        <f t="shared" ref="D11:K11" si="1">D6/D10</f>
        <v>0.69338905775075987</v>
      </c>
      <c r="E11" s="26">
        <f t="shared" si="1"/>
        <v>0.60284951024042743</v>
      </c>
      <c r="F11" s="26">
        <f t="shared" si="1"/>
        <v>0.53652173913043477</v>
      </c>
      <c r="G11" s="26">
        <f t="shared" si="1"/>
        <v>0.39796351294017818</v>
      </c>
      <c r="H11" s="26">
        <f t="shared" si="1"/>
        <v>0.93614130434782605</v>
      </c>
      <c r="I11" s="26">
        <f t="shared" si="1"/>
        <v>0.72741806554756194</v>
      </c>
      <c r="J11" s="26">
        <f t="shared" si="1"/>
        <v>0.25961538461538464</v>
      </c>
      <c r="K11" s="26">
        <f t="shared" si="1"/>
        <v>0.61838348341752691</v>
      </c>
    </row>
    <row r="12" spans="2:11">
      <c r="B12" s="375" t="s">
        <v>445</v>
      </c>
      <c r="C12" s="19"/>
      <c r="D12" s="19"/>
      <c r="E12" s="19"/>
      <c r="F12" s="19"/>
      <c r="G12" s="19"/>
      <c r="H12" s="19"/>
      <c r="I12" s="19"/>
      <c r="J12" s="19"/>
      <c r="K12" s="25"/>
    </row>
    <row r="13" spans="2:11">
      <c r="B13" s="380" t="s">
        <v>344</v>
      </c>
      <c r="C13" s="19">
        <v>2980</v>
      </c>
      <c r="D13" s="19">
        <v>1733</v>
      </c>
      <c r="E13" s="19">
        <v>1485</v>
      </c>
      <c r="F13" s="19">
        <v>1442</v>
      </c>
      <c r="G13" s="19">
        <v>1685</v>
      </c>
      <c r="H13" s="19">
        <v>945</v>
      </c>
      <c r="I13" s="19">
        <v>793</v>
      </c>
      <c r="J13" s="19">
        <v>255</v>
      </c>
      <c r="K13" s="25">
        <f>SUM(C13:J13)</f>
        <v>11318</v>
      </c>
    </row>
    <row r="14" spans="2:11">
      <c r="B14" s="380" t="s">
        <v>345</v>
      </c>
      <c r="C14" s="19">
        <v>2454</v>
      </c>
      <c r="D14" s="19">
        <v>899</v>
      </c>
      <c r="E14" s="19">
        <v>761</v>
      </c>
      <c r="F14" s="19">
        <v>858</v>
      </c>
      <c r="G14" s="19">
        <v>672</v>
      </c>
      <c r="H14" s="19">
        <v>527</v>
      </c>
      <c r="I14" s="19">
        <v>458</v>
      </c>
      <c r="J14" s="19">
        <v>265</v>
      </c>
      <c r="K14" s="25">
        <f>SUM(C14:J14)</f>
        <v>6894</v>
      </c>
    </row>
    <row r="15" spans="2:11">
      <c r="B15" s="381" t="s">
        <v>301</v>
      </c>
      <c r="C15" s="284">
        <f>SUM(C13:C14)</f>
        <v>5434</v>
      </c>
      <c r="D15" s="284">
        <f t="shared" ref="D15:J15" si="2">SUM(D13:D14)</f>
        <v>2632</v>
      </c>
      <c r="E15" s="284">
        <f t="shared" si="2"/>
        <v>2246</v>
      </c>
      <c r="F15" s="284">
        <f t="shared" si="2"/>
        <v>2300</v>
      </c>
      <c r="G15" s="284">
        <f t="shared" si="2"/>
        <v>2357</v>
      </c>
      <c r="H15" s="284">
        <f t="shared" si="2"/>
        <v>1472</v>
      </c>
      <c r="I15" s="284">
        <f t="shared" si="2"/>
        <v>1251</v>
      </c>
      <c r="J15" s="284">
        <f t="shared" si="2"/>
        <v>520</v>
      </c>
      <c r="K15" s="367">
        <f>SUM(C15:J15)</f>
        <v>18212</v>
      </c>
    </row>
    <row r="16" spans="2:11">
      <c r="B16" s="264"/>
    </row>
    <row r="17" spans="2:11">
      <c r="B17" s="369" t="s">
        <v>446</v>
      </c>
      <c r="C17" s="370"/>
      <c r="D17" s="370"/>
      <c r="E17" s="370"/>
      <c r="F17" s="370"/>
      <c r="G17" s="370"/>
      <c r="H17" s="370"/>
      <c r="I17" s="370"/>
      <c r="J17" s="370"/>
      <c r="K17" s="371" t="s">
        <v>439</v>
      </c>
    </row>
    <row r="18" spans="2:11" ht="36">
      <c r="B18" s="372" t="s">
        <v>262</v>
      </c>
      <c r="C18" s="373" t="s">
        <v>398</v>
      </c>
      <c r="D18" s="373" t="s">
        <v>399</v>
      </c>
      <c r="E18" s="373" t="s">
        <v>440</v>
      </c>
      <c r="F18" s="373" t="s">
        <v>441</v>
      </c>
      <c r="G18" s="373" t="s">
        <v>402</v>
      </c>
      <c r="H18" s="373" t="s">
        <v>403</v>
      </c>
      <c r="I18" s="373" t="s">
        <v>404</v>
      </c>
      <c r="J18" s="373" t="s">
        <v>405</v>
      </c>
      <c r="K18" s="374" t="s">
        <v>301</v>
      </c>
    </row>
    <row r="19" spans="2:11">
      <c r="B19" s="375" t="s">
        <v>442</v>
      </c>
      <c r="C19" s="370"/>
      <c r="D19" s="370"/>
      <c r="E19" s="370"/>
      <c r="F19" s="370"/>
      <c r="G19" s="370"/>
      <c r="H19" s="370"/>
      <c r="I19" s="370"/>
      <c r="J19" s="370"/>
      <c r="K19" s="376"/>
    </row>
    <row r="20" spans="2:11">
      <c r="B20" s="377" t="s">
        <v>297</v>
      </c>
      <c r="C20" s="19">
        <v>845</v>
      </c>
      <c r="D20" s="19">
        <v>462</v>
      </c>
      <c r="E20" s="19">
        <v>314</v>
      </c>
      <c r="F20" s="19">
        <v>323</v>
      </c>
      <c r="G20" s="19">
        <v>230</v>
      </c>
      <c r="H20" s="19">
        <v>342</v>
      </c>
      <c r="I20" s="19">
        <v>229</v>
      </c>
      <c r="J20" s="19">
        <v>33</v>
      </c>
      <c r="K20" s="25">
        <f>SUM(C20:J20)</f>
        <v>2778</v>
      </c>
    </row>
    <row r="21" spans="2:11">
      <c r="B21" s="377" t="s">
        <v>298</v>
      </c>
      <c r="C21" s="19">
        <v>225</v>
      </c>
      <c r="D21" s="19">
        <v>179</v>
      </c>
      <c r="E21" s="19">
        <v>123</v>
      </c>
      <c r="F21" s="19">
        <v>216</v>
      </c>
      <c r="G21" s="19">
        <v>368</v>
      </c>
      <c r="H21" s="19">
        <v>8</v>
      </c>
      <c r="I21" s="19">
        <v>91</v>
      </c>
      <c r="J21" s="19">
        <v>17</v>
      </c>
      <c r="K21" s="25">
        <f>SUM(C21:J21)</f>
        <v>1227</v>
      </c>
    </row>
    <row r="22" spans="2:11">
      <c r="B22" s="377" t="s">
        <v>443</v>
      </c>
      <c r="C22" s="19">
        <v>60</v>
      </c>
      <c r="D22" s="19">
        <v>2</v>
      </c>
      <c r="E22" s="19">
        <v>5</v>
      </c>
      <c r="F22" s="19">
        <v>6</v>
      </c>
      <c r="G22" s="19">
        <v>3</v>
      </c>
      <c r="H22" s="19">
        <v>11</v>
      </c>
      <c r="I22" s="19">
        <v>1</v>
      </c>
      <c r="J22" s="19">
        <v>32</v>
      </c>
      <c r="K22" s="25">
        <f>SUM(C22:J22)</f>
        <v>120</v>
      </c>
    </row>
    <row r="23" spans="2:11">
      <c r="B23" s="377" t="s">
        <v>444</v>
      </c>
      <c r="C23" s="19">
        <v>186</v>
      </c>
      <c r="D23" s="19">
        <v>31</v>
      </c>
      <c r="E23" s="19">
        <v>95</v>
      </c>
      <c r="F23" s="19">
        <v>42</v>
      </c>
      <c r="G23" s="19">
        <v>16</v>
      </c>
      <c r="H23" s="19">
        <v>2</v>
      </c>
      <c r="I23" s="19">
        <v>5</v>
      </c>
      <c r="J23" s="19">
        <v>52</v>
      </c>
      <c r="K23" s="25">
        <f>SUM(C23:J23)</f>
        <v>429</v>
      </c>
    </row>
    <row r="24" spans="2:11">
      <c r="B24" s="378" t="s">
        <v>301</v>
      </c>
      <c r="C24" s="284">
        <f t="shared" ref="C24:K24" si="3">SUM(C20:C23)</f>
        <v>1316</v>
      </c>
      <c r="D24" s="284">
        <f t="shared" si="3"/>
        <v>674</v>
      </c>
      <c r="E24" s="284">
        <f t="shared" si="3"/>
        <v>537</v>
      </c>
      <c r="F24" s="284">
        <f t="shared" si="3"/>
        <v>587</v>
      </c>
      <c r="G24" s="284">
        <f t="shared" si="3"/>
        <v>617</v>
      </c>
      <c r="H24" s="284">
        <f t="shared" si="3"/>
        <v>363</v>
      </c>
      <c r="I24" s="284">
        <f t="shared" si="3"/>
        <v>326</v>
      </c>
      <c r="J24" s="284">
        <f t="shared" si="3"/>
        <v>134</v>
      </c>
      <c r="K24" s="367">
        <f t="shared" si="3"/>
        <v>4554</v>
      </c>
    </row>
    <row r="25" spans="2:11">
      <c r="B25" s="379"/>
      <c r="C25" s="26"/>
      <c r="D25" s="26"/>
      <c r="E25" s="26"/>
      <c r="F25" s="26"/>
      <c r="G25" s="26"/>
      <c r="H25" s="26"/>
      <c r="I25" s="26"/>
      <c r="J25" s="26"/>
      <c r="K25" s="25"/>
    </row>
    <row r="26" spans="2:11">
      <c r="B26" s="375" t="s">
        <v>445</v>
      </c>
      <c r="C26" s="19"/>
      <c r="D26" s="19"/>
      <c r="E26" s="19"/>
      <c r="F26" s="19"/>
      <c r="G26" s="19"/>
      <c r="H26" s="19"/>
      <c r="I26" s="19"/>
      <c r="J26" s="19"/>
      <c r="K26" s="25"/>
    </row>
    <row r="27" spans="2:11">
      <c r="B27" s="380" t="s">
        <v>344</v>
      </c>
      <c r="C27" s="19">
        <v>713</v>
      </c>
      <c r="D27" s="19">
        <v>457</v>
      </c>
      <c r="E27" s="19">
        <v>346</v>
      </c>
      <c r="F27" s="19">
        <v>376</v>
      </c>
      <c r="G27" s="19">
        <v>435</v>
      </c>
      <c r="H27" s="19">
        <v>247</v>
      </c>
      <c r="I27" s="19">
        <v>218</v>
      </c>
      <c r="J27" s="19">
        <v>72</v>
      </c>
      <c r="K27" s="25">
        <f>SUM(C27:J27)</f>
        <v>2864</v>
      </c>
    </row>
    <row r="28" spans="2:11">
      <c r="B28" s="380" t="s">
        <v>345</v>
      </c>
      <c r="C28" s="19">
        <v>603</v>
      </c>
      <c r="D28" s="19">
        <v>217</v>
      </c>
      <c r="E28" s="19">
        <v>191</v>
      </c>
      <c r="F28" s="19">
        <v>211</v>
      </c>
      <c r="G28" s="19">
        <v>182</v>
      </c>
      <c r="H28" s="19">
        <v>116</v>
      </c>
      <c r="I28" s="19">
        <v>108</v>
      </c>
      <c r="J28" s="19">
        <v>62</v>
      </c>
      <c r="K28" s="25">
        <f>SUM(C28:J28)</f>
        <v>1690</v>
      </c>
    </row>
    <row r="29" spans="2:11">
      <c r="B29" s="381" t="s">
        <v>301</v>
      </c>
      <c r="C29" s="284">
        <f>SUM(C27:C28)</f>
        <v>1316</v>
      </c>
      <c r="D29" s="284">
        <f t="shared" ref="D29:J29" si="4">SUM(D27:D28)</f>
        <v>674</v>
      </c>
      <c r="E29" s="284">
        <f t="shared" si="4"/>
        <v>537</v>
      </c>
      <c r="F29" s="284">
        <f t="shared" si="4"/>
        <v>587</v>
      </c>
      <c r="G29" s="284">
        <f t="shared" si="4"/>
        <v>617</v>
      </c>
      <c r="H29" s="284">
        <f t="shared" si="4"/>
        <v>363</v>
      </c>
      <c r="I29" s="284">
        <f t="shared" si="4"/>
        <v>326</v>
      </c>
      <c r="J29" s="284">
        <f t="shared" si="4"/>
        <v>134</v>
      </c>
      <c r="K29" s="367">
        <f>SUM(C29:J29)</f>
        <v>4554</v>
      </c>
    </row>
    <row r="30" spans="2:11">
      <c r="B30" s="264"/>
    </row>
    <row r="31" spans="2:11">
      <c r="B31" s="369" t="s">
        <v>447</v>
      </c>
      <c r="C31" s="370"/>
      <c r="D31" s="370"/>
      <c r="E31" s="370"/>
      <c r="F31" s="370"/>
      <c r="G31" s="370"/>
      <c r="H31" s="370"/>
      <c r="I31" s="370"/>
      <c r="J31" s="370"/>
      <c r="K31" s="371" t="s">
        <v>439</v>
      </c>
    </row>
    <row r="32" spans="2:11" ht="36">
      <c r="B32" s="372" t="s">
        <v>262</v>
      </c>
      <c r="C32" s="373" t="s">
        <v>398</v>
      </c>
      <c r="D32" s="373" t="s">
        <v>399</v>
      </c>
      <c r="E32" s="373" t="s">
        <v>440</v>
      </c>
      <c r="F32" s="373" t="s">
        <v>441</v>
      </c>
      <c r="G32" s="373" t="s">
        <v>402</v>
      </c>
      <c r="H32" s="373" t="s">
        <v>403</v>
      </c>
      <c r="I32" s="373" t="s">
        <v>404</v>
      </c>
      <c r="J32" s="373" t="s">
        <v>405</v>
      </c>
      <c r="K32" s="374" t="s">
        <v>301</v>
      </c>
    </row>
    <row r="33" spans="2:11">
      <c r="B33" s="375" t="s">
        <v>442</v>
      </c>
      <c r="C33" s="370"/>
      <c r="D33" s="370"/>
      <c r="E33" s="370"/>
      <c r="F33" s="370"/>
      <c r="G33" s="370"/>
      <c r="H33" s="370"/>
      <c r="I33" s="370"/>
      <c r="J33" s="370"/>
      <c r="K33" s="376"/>
    </row>
    <row r="34" spans="2:11">
      <c r="B34" s="377" t="s">
        <v>297</v>
      </c>
      <c r="C34" s="19">
        <v>878</v>
      </c>
      <c r="D34" s="19">
        <v>467</v>
      </c>
      <c r="E34" s="19">
        <v>351</v>
      </c>
      <c r="F34" s="19">
        <v>330</v>
      </c>
      <c r="G34" s="19">
        <v>236</v>
      </c>
      <c r="H34" s="19">
        <v>352</v>
      </c>
      <c r="I34" s="19">
        <v>240</v>
      </c>
      <c r="J34" s="19">
        <v>35</v>
      </c>
      <c r="K34" s="25">
        <f>SUM(C34:J34)</f>
        <v>2889</v>
      </c>
    </row>
    <row r="35" spans="2:11">
      <c r="B35" s="377" t="s">
        <v>298</v>
      </c>
      <c r="C35" s="19">
        <v>229</v>
      </c>
      <c r="D35" s="19">
        <v>163</v>
      </c>
      <c r="E35" s="19">
        <v>119</v>
      </c>
      <c r="F35" s="19">
        <v>224</v>
      </c>
      <c r="G35" s="19">
        <v>363</v>
      </c>
      <c r="H35" s="19">
        <v>8</v>
      </c>
      <c r="I35" s="19">
        <v>83</v>
      </c>
      <c r="J35" s="19">
        <v>13</v>
      </c>
      <c r="K35" s="25">
        <f>SUM(C35:J35)</f>
        <v>1202</v>
      </c>
    </row>
    <row r="36" spans="2:11">
      <c r="B36" s="377" t="s">
        <v>443</v>
      </c>
      <c r="C36" s="19">
        <v>55</v>
      </c>
      <c r="D36" s="19">
        <v>3</v>
      </c>
      <c r="E36" s="19">
        <v>5</v>
      </c>
      <c r="F36" s="19">
        <v>8</v>
      </c>
      <c r="G36" s="19">
        <v>3</v>
      </c>
      <c r="H36" s="19">
        <v>14</v>
      </c>
      <c r="I36" s="19">
        <v>1</v>
      </c>
      <c r="J36" s="19">
        <v>24</v>
      </c>
      <c r="K36" s="25">
        <f>SUM(C36:J36)</f>
        <v>113</v>
      </c>
    </row>
    <row r="37" spans="2:11">
      <c r="B37" s="377" t="s">
        <v>444</v>
      </c>
      <c r="C37" s="19">
        <v>204</v>
      </c>
      <c r="D37" s="19">
        <v>34</v>
      </c>
      <c r="E37" s="19">
        <v>98</v>
      </c>
      <c r="F37" s="19">
        <v>41</v>
      </c>
      <c r="G37" s="19">
        <v>17</v>
      </c>
      <c r="H37" s="19">
        <v>2</v>
      </c>
      <c r="I37" s="19">
        <v>4</v>
      </c>
      <c r="J37" s="19">
        <v>55</v>
      </c>
      <c r="K37" s="25">
        <f>SUM(C37:J37)</f>
        <v>455</v>
      </c>
    </row>
    <row r="38" spans="2:11">
      <c r="B38" s="378" t="s">
        <v>301</v>
      </c>
      <c r="C38" s="284">
        <f t="shared" ref="C38:K38" si="5">SUM(C34:C37)</f>
        <v>1366</v>
      </c>
      <c r="D38" s="284">
        <f t="shared" si="5"/>
        <v>667</v>
      </c>
      <c r="E38" s="284">
        <f t="shared" si="5"/>
        <v>573</v>
      </c>
      <c r="F38" s="284">
        <f t="shared" si="5"/>
        <v>603</v>
      </c>
      <c r="G38" s="284">
        <f t="shared" si="5"/>
        <v>619</v>
      </c>
      <c r="H38" s="284">
        <f t="shared" si="5"/>
        <v>376</v>
      </c>
      <c r="I38" s="284">
        <f t="shared" si="5"/>
        <v>328</v>
      </c>
      <c r="J38" s="284">
        <f t="shared" si="5"/>
        <v>127</v>
      </c>
      <c r="K38" s="367">
        <f t="shared" si="5"/>
        <v>4659</v>
      </c>
    </row>
    <row r="39" spans="2:11">
      <c r="B39" s="379"/>
      <c r="C39" s="26"/>
      <c r="D39" s="26"/>
      <c r="E39" s="26"/>
      <c r="F39" s="26"/>
      <c r="G39" s="26"/>
      <c r="H39" s="26"/>
      <c r="I39" s="26"/>
      <c r="J39" s="26"/>
      <c r="K39" s="25"/>
    </row>
    <row r="40" spans="2:11">
      <c r="B40" s="375" t="s">
        <v>445</v>
      </c>
      <c r="C40" s="19"/>
      <c r="D40" s="19"/>
      <c r="E40" s="19"/>
      <c r="F40" s="19"/>
      <c r="G40" s="19"/>
      <c r="H40" s="19"/>
      <c r="I40" s="19"/>
      <c r="J40" s="19"/>
      <c r="K40" s="25"/>
    </row>
    <row r="41" spans="2:11">
      <c r="B41" s="380" t="s">
        <v>344</v>
      </c>
      <c r="C41" s="19">
        <v>757</v>
      </c>
      <c r="D41" s="19">
        <v>440</v>
      </c>
      <c r="E41" s="19">
        <v>383</v>
      </c>
      <c r="F41" s="19">
        <v>383</v>
      </c>
      <c r="G41" s="19">
        <v>458</v>
      </c>
      <c r="H41" s="19">
        <v>241</v>
      </c>
      <c r="I41" s="19">
        <v>204</v>
      </c>
      <c r="J41" s="19">
        <v>64</v>
      </c>
      <c r="K41" s="25">
        <f>SUM(C41:J41)</f>
        <v>2930</v>
      </c>
    </row>
    <row r="42" spans="2:11">
      <c r="B42" s="380" t="s">
        <v>345</v>
      </c>
      <c r="C42" s="19">
        <v>609</v>
      </c>
      <c r="D42" s="19">
        <v>227</v>
      </c>
      <c r="E42" s="19">
        <v>190</v>
      </c>
      <c r="F42" s="19">
        <v>220</v>
      </c>
      <c r="G42" s="19">
        <v>161</v>
      </c>
      <c r="H42" s="19">
        <v>135</v>
      </c>
      <c r="I42" s="19">
        <v>124</v>
      </c>
      <c r="J42" s="19">
        <v>63</v>
      </c>
      <c r="K42" s="25">
        <f>SUM(C42:J42)</f>
        <v>1729</v>
      </c>
    </row>
    <row r="43" spans="2:11">
      <c r="B43" s="381" t="s">
        <v>301</v>
      </c>
      <c r="C43" s="284">
        <f>SUM(C41:C42)</f>
        <v>1366</v>
      </c>
      <c r="D43" s="284">
        <f t="shared" ref="D43:J43" si="6">SUM(D41:D42)</f>
        <v>667</v>
      </c>
      <c r="E43" s="284">
        <f t="shared" si="6"/>
        <v>573</v>
      </c>
      <c r="F43" s="284">
        <f t="shared" si="6"/>
        <v>603</v>
      </c>
      <c r="G43" s="284">
        <f t="shared" si="6"/>
        <v>619</v>
      </c>
      <c r="H43" s="284">
        <f t="shared" si="6"/>
        <v>376</v>
      </c>
      <c r="I43" s="284">
        <f t="shared" si="6"/>
        <v>328</v>
      </c>
      <c r="J43" s="284">
        <f t="shared" si="6"/>
        <v>127</v>
      </c>
      <c r="K43" s="367">
        <f>SUM(C43:J43)</f>
        <v>4659</v>
      </c>
    </row>
    <row r="44" spans="2:11">
      <c r="B44" s="264"/>
    </row>
    <row r="45" spans="2:11">
      <c r="B45" s="369" t="s">
        <v>448</v>
      </c>
      <c r="C45" s="370"/>
      <c r="D45" s="370"/>
      <c r="E45" s="370"/>
      <c r="F45" s="370"/>
      <c r="G45" s="370"/>
      <c r="H45" s="370"/>
      <c r="I45" s="370"/>
      <c r="J45" s="370"/>
      <c r="K45" s="371" t="s">
        <v>439</v>
      </c>
    </row>
    <row r="46" spans="2:11" ht="36">
      <c r="B46" s="372" t="s">
        <v>262</v>
      </c>
      <c r="C46" s="373" t="s">
        <v>398</v>
      </c>
      <c r="D46" s="373" t="s">
        <v>399</v>
      </c>
      <c r="E46" s="373" t="s">
        <v>440</v>
      </c>
      <c r="F46" s="373" t="s">
        <v>441</v>
      </c>
      <c r="G46" s="373" t="s">
        <v>402</v>
      </c>
      <c r="H46" s="373" t="s">
        <v>403</v>
      </c>
      <c r="I46" s="373" t="s">
        <v>404</v>
      </c>
      <c r="J46" s="373" t="s">
        <v>405</v>
      </c>
      <c r="K46" s="374" t="s">
        <v>301</v>
      </c>
    </row>
    <row r="47" spans="2:11">
      <c r="B47" s="375" t="s">
        <v>442</v>
      </c>
      <c r="C47" s="370"/>
      <c r="D47" s="370"/>
      <c r="E47" s="370"/>
      <c r="F47" s="370"/>
      <c r="G47" s="370"/>
      <c r="H47" s="370"/>
      <c r="I47" s="370"/>
      <c r="J47" s="370"/>
      <c r="K47" s="376"/>
    </row>
    <row r="48" spans="2:11">
      <c r="B48" s="377" t="s">
        <v>297</v>
      </c>
      <c r="C48" s="19">
        <v>885</v>
      </c>
      <c r="D48" s="19">
        <v>451</v>
      </c>
      <c r="E48" s="19">
        <v>352</v>
      </c>
      <c r="F48" s="19">
        <v>303</v>
      </c>
      <c r="G48" s="19">
        <v>250</v>
      </c>
      <c r="H48" s="19">
        <v>345</v>
      </c>
      <c r="I48" s="19">
        <v>225</v>
      </c>
      <c r="J48" s="19">
        <v>36</v>
      </c>
      <c r="K48" s="25">
        <f>SUM(C48:J48)</f>
        <v>2847</v>
      </c>
    </row>
    <row r="49" spans="2:11">
      <c r="B49" s="377" t="s">
        <v>298</v>
      </c>
      <c r="C49" s="19">
        <v>233</v>
      </c>
      <c r="D49" s="19">
        <v>158</v>
      </c>
      <c r="E49" s="19">
        <v>118</v>
      </c>
      <c r="F49" s="19">
        <v>210</v>
      </c>
      <c r="G49" s="19">
        <v>317</v>
      </c>
      <c r="H49" s="19">
        <v>9</v>
      </c>
      <c r="I49" s="19">
        <v>75</v>
      </c>
      <c r="J49" s="19">
        <v>7</v>
      </c>
      <c r="K49" s="25">
        <f>SUM(C49:J49)</f>
        <v>1127</v>
      </c>
    </row>
    <row r="50" spans="2:11">
      <c r="B50" s="377" t="s">
        <v>443</v>
      </c>
      <c r="C50" s="19">
        <v>64</v>
      </c>
      <c r="D50" s="19">
        <v>2</v>
      </c>
      <c r="E50" s="19">
        <v>5</v>
      </c>
      <c r="F50" s="19">
        <v>7</v>
      </c>
      <c r="G50" s="19">
        <v>2</v>
      </c>
      <c r="H50" s="19">
        <v>14</v>
      </c>
      <c r="I50" s="19">
        <v>1</v>
      </c>
      <c r="J50" s="19">
        <v>38</v>
      </c>
      <c r="K50" s="25">
        <f>SUM(C50:J50)</f>
        <v>133</v>
      </c>
    </row>
    <row r="51" spans="2:11">
      <c r="B51" s="377" t="s">
        <v>444</v>
      </c>
      <c r="C51" s="19">
        <v>208</v>
      </c>
      <c r="D51" s="19">
        <v>36</v>
      </c>
      <c r="E51" s="19">
        <v>86</v>
      </c>
      <c r="F51" s="19">
        <v>41</v>
      </c>
      <c r="G51" s="19">
        <v>14</v>
      </c>
      <c r="H51" s="19">
        <v>2</v>
      </c>
      <c r="I51" s="19">
        <v>5</v>
      </c>
      <c r="J51" s="19">
        <v>56</v>
      </c>
      <c r="K51" s="25">
        <f>SUM(C51:J51)</f>
        <v>448</v>
      </c>
    </row>
    <row r="52" spans="2:11">
      <c r="B52" s="378" t="s">
        <v>301</v>
      </c>
      <c r="C52" s="284">
        <f t="shared" ref="C52:K52" si="7">SUM(C48:C51)</f>
        <v>1390</v>
      </c>
      <c r="D52" s="284">
        <f t="shared" si="7"/>
        <v>647</v>
      </c>
      <c r="E52" s="284">
        <f t="shared" si="7"/>
        <v>561</v>
      </c>
      <c r="F52" s="284">
        <f t="shared" si="7"/>
        <v>561</v>
      </c>
      <c r="G52" s="284">
        <f t="shared" si="7"/>
        <v>583</v>
      </c>
      <c r="H52" s="284">
        <f t="shared" si="7"/>
        <v>370</v>
      </c>
      <c r="I52" s="284">
        <f t="shared" si="7"/>
        <v>306</v>
      </c>
      <c r="J52" s="284">
        <f t="shared" si="7"/>
        <v>137</v>
      </c>
      <c r="K52" s="367">
        <f t="shared" si="7"/>
        <v>4555</v>
      </c>
    </row>
    <row r="53" spans="2:11">
      <c r="B53" s="379"/>
      <c r="C53" s="26"/>
      <c r="D53" s="26"/>
      <c r="E53" s="26">
        <f>E49/E52</f>
        <v>0.21033868092691621</v>
      </c>
      <c r="F53" s="26"/>
      <c r="G53" s="26"/>
      <c r="H53" s="26"/>
      <c r="I53" s="26"/>
      <c r="J53" s="26"/>
      <c r="K53" s="25"/>
    </row>
    <row r="54" spans="2:11">
      <c r="B54" s="375" t="s">
        <v>445</v>
      </c>
      <c r="C54" s="19"/>
      <c r="D54" s="19"/>
      <c r="E54" s="19"/>
      <c r="F54" s="19"/>
      <c r="G54" s="19"/>
      <c r="H54" s="19"/>
      <c r="I54" s="19"/>
      <c r="J54" s="19"/>
      <c r="K54" s="25"/>
    </row>
    <row r="55" spans="2:11">
      <c r="B55" s="380" t="s">
        <v>344</v>
      </c>
      <c r="C55" s="19">
        <v>768</v>
      </c>
      <c r="D55" s="19">
        <v>424</v>
      </c>
      <c r="E55" s="19">
        <v>369</v>
      </c>
      <c r="F55" s="19">
        <v>346</v>
      </c>
      <c r="G55" s="19">
        <v>417</v>
      </c>
      <c r="H55" s="19">
        <v>232</v>
      </c>
      <c r="I55" s="19">
        <v>193</v>
      </c>
      <c r="J55" s="19">
        <v>68</v>
      </c>
      <c r="K55" s="25">
        <f>SUM(C55:J55)</f>
        <v>2817</v>
      </c>
    </row>
    <row r="56" spans="2:11">
      <c r="B56" s="380" t="s">
        <v>345</v>
      </c>
      <c r="C56" s="19">
        <v>622</v>
      </c>
      <c r="D56" s="19">
        <v>223</v>
      </c>
      <c r="E56" s="19">
        <v>192</v>
      </c>
      <c r="F56" s="19">
        <v>215</v>
      </c>
      <c r="G56" s="19">
        <v>166</v>
      </c>
      <c r="H56" s="19">
        <v>138</v>
      </c>
      <c r="I56" s="19">
        <v>113</v>
      </c>
      <c r="J56" s="19">
        <v>69</v>
      </c>
      <c r="K56" s="25">
        <f>SUM(C56:J56)</f>
        <v>1738</v>
      </c>
    </row>
    <row r="57" spans="2:11">
      <c r="B57" s="381" t="s">
        <v>301</v>
      </c>
      <c r="C57" s="284">
        <f>SUM(C55:C56)</f>
        <v>1390</v>
      </c>
      <c r="D57" s="284">
        <f t="shared" ref="D57:J57" si="8">SUM(D55:D56)</f>
        <v>647</v>
      </c>
      <c r="E57" s="284">
        <f t="shared" si="8"/>
        <v>561</v>
      </c>
      <c r="F57" s="284">
        <f t="shared" si="8"/>
        <v>561</v>
      </c>
      <c r="G57" s="284">
        <f t="shared" si="8"/>
        <v>583</v>
      </c>
      <c r="H57" s="284">
        <f t="shared" si="8"/>
        <v>370</v>
      </c>
      <c r="I57" s="284">
        <f t="shared" si="8"/>
        <v>306</v>
      </c>
      <c r="J57" s="284">
        <f t="shared" si="8"/>
        <v>137</v>
      </c>
      <c r="K57" s="367">
        <f>SUM(C57:J57)</f>
        <v>4555</v>
      </c>
    </row>
    <row r="58" spans="2:11">
      <c r="B58" s="264"/>
    </row>
    <row r="59" spans="2:11">
      <c r="B59" s="264"/>
    </row>
    <row r="60" spans="2:11">
      <c r="B60" s="369" t="s">
        <v>449</v>
      </c>
      <c r="C60" s="370"/>
      <c r="D60" s="370"/>
      <c r="E60" s="370"/>
      <c r="F60" s="370"/>
      <c r="G60" s="370"/>
      <c r="H60" s="370"/>
      <c r="I60" s="370"/>
      <c r="J60" s="370"/>
      <c r="K60" s="371" t="s">
        <v>439</v>
      </c>
    </row>
    <row r="61" spans="2:11" ht="36">
      <c r="B61" s="372" t="s">
        <v>262</v>
      </c>
      <c r="C61" s="373" t="s">
        <v>398</v>
      </c>
      <c r="D61" s="373" t="s">
        <v>399</v>
      </c>
      <c r="E61" s="373" t="s">
        <v>440</v>
      </c>
      <c r="F61" s="373" t="s">
        <v>441</v>
      </c>
      <c r="G61" s="373" t="s">
        <v>402</v>
      </c>
      <c r="H61" s="373" t="s">
        <v>403</v>
      </c>
      <c r="I61" s="373" t="s">
        <v>404</v>
      </c>
      <c r="J61" s="373" t="s">
        <v>405</v>
      </c>
      <c r="K61" s="374" t="s">
        <v>301</v>
      </c>
    </row>
    <row r="62" spans="2:11">
      <c r="B62" s="375" t="s">
        <v>442</v>
      </c>
      <c r="C62" s="370"/>
      <c r="D62" s="370"/>
      <c r="E62" s="370"/>
      <c r="F62" s="370"/>
      <c r="G62" s="370"/>
      <c r="H62" s="370"/>
      <c r="I62" s="370"/>
      <c r="J62" s="370"/>
      <c r="K62" s="376"/>
    </row>
    <row r="63" spans="2:11">
      <c r="B63" s="377" t="s">
        <v>297</v>
      </c>
      <c r="C63" s="19">
        <v>880</v>
      </c>
      <c r="D63" s="19">
        <v>444</v>
      </c>
      <c r="E63" s="19">
        <v>338</v>
      </c>
      <c r="F63" s="19">
        <v>278</v>
      </c>
      <c r="G63" s="19">
        <v>223</v>
      </c>
      <c r="H63" s="19">
        <v>339</v>
      </c>
      <c r="I63" s="19">
        <v>215</v>
      </c>
      <c r="J63" s="19">
        <v>30</v>
      </c>
      <c r="K63" s="25">
        <f>SUM(C63:J63)</f>
        <v>2747</v>
      </c>
    </row>
    <row r="64" spans="2:11">
      <c r="B64" s="377" t="s">
        <v>298</v>
      </c>
      <c r="C64" s="19">
        <v>228</v>
      </c>
      <c r="D64" s="19">
        <v>164</v>
      </c>
      <c r="E64" s="19">
        <v>116</v>
      </c>
      <c r="F64" s="19">
        <v>218</v>
      </c>
      <c r="G64" s="19">
        <v>300</v>
      </c>
      <c r="H64" s="19">
        <v>9</v>
      </c>
      <c r="I64" s="19">
        <v>71</v>
      </c>
      <c r="J64" s="19">
        <v>8</v>
      </c>
      <c r="K64" s="25">
        <f>SUM(C64:J64)</f>
        <v>1114</v>
      </c>
    </row>
    <row r="65" spans="2:11">
      <c r="B65" s="377" t="s">
        <v>443</v>
      </c>
      <c r="C65" s="19">
        <v>58</v>
      </c>
      <c r="D65" s="19">
        <v>2</v>
      </c>
      <c r="E65" s="19">
        <v>6</v>
      </c>
      <c r="F65" s="19">
        <v>5</v>
      </c>
      <c r="G65" s="19">
        <v>2</v>
      </c>
      <c r="H65" s="19">
        <v>13</v>
      </c>
      <c r="I65" s="19">
        <v>1</v>
      </c>
      <c r="J65" s="19">
        <v>27</v>
      </c>
      <c r="K65" s="25">
        <f>SUM(C65:J65)</f>
        <v>114</v>
      </c>
    </row>
    <row r="66" spans="2:11">
      <c r="B66" s="377" t="s">
        <v>444</v>
      </c>
      <c r="C66" s="19">
        <v>196</v>
      </c>
      <c r="D66" s="19">
        <v>35</v>
      </c>
      <c r="E66" s="19">
        <v>116</v>
      </c>
      <c r="F66" s="19">
        <v>48</v>
      </c>
      <c r="G66" s="19">
        <v>12</v>
      </c>
      <c r="H66" s="19">
        <v>2</v>
      </c>
      <c r="I66" s="19">
        <v>4</v>
      </c>
      <c r="J66" s="19">
        <v>56</v>
      </c>
      <c r="K66" s="25">
        <f>SUM(C66:J66)</f>
        <v>469</v>
      </c>
    </row>
    <row r="67" spans="2:11">
      <c r="B67" s="378" t="s">
        <v>301</v>
      </c>
      <c r="C67" s="284">
        <f t="shared" ref="C67:K67" si="9">SUM(C63:C66)</f>
        <v>1362</v>
      </c>
      <c r="D67" s="284">
        <f t="shared" si="9"/>
        <v>645</v>
      </c>
      <c r="E67" s="284">
        <f t="shared" si="9"/>
        <v>576</v>
      </c>
      <c r="F67" s="284">
        <f t="shared" si="9"/>
        <v>549</v>
      </c>
      <c r="G67" s="284">
        <f t="shared" si="9"/>
        <v>537</v>
      </c>
      <c r="H67" s="284">
        <f t="shared" si="9"/>
        <v>363</v>
      </c>
      <c r="I67" s="284">
        <f t="shared" si="9"/>
        <v>291</v>
      </c>
      <c r="J67" s="284">
        <f t="shared" si="9"/>
        <v>121</v>
      </c>
      <c r="K67" s="367">
        <f t="shared" si="9"/>
        <v>4444</v>
      </c>
    </row>
    <row r="68" spans="2:11">
      <c r="B68" s="379"/>
      <c r="C68" s="26"/>
      <c r="D68" s="26"/>
      <c r="E68" s="26"/>
      <c r="F68" s="26"/>
      <c r="G68" s="26"/>
      <c r="H68" s="26"/>
      <c r="I68" s="26"/>
      <c r="J68" s="26"/>
      <c r="K68" s="25"/>
    </row>
    <row r="69" spans="2:11">
      <c r="B69" s="375" t="s">
        <v>445</v>
      </c>
      <c r="C69" s="19"/>
      <c r="D69" s="19"/>
      <c r="E69" s="19"/>
      <c r="F69" s="19"/>
      <c r="G69" s="19"/>
      <c r="H69" s="19"/>
      <c r="I69" s="19"/>
      <c r="J69" s="19"/>
      <c r="K69" s="25"/>
    </row>
    <row r="70" spans="2:11">
      <c r="B70" s="380" t="s">
        <v>344</v>
      </c>
      <c r="C70" s="19">
        <v>742</v>
      </c>
      <c r="D70" s="19">
        <v>413</v>
      </c>
      <c r="E70" s="19">
        <v>388</v>
      </c>
      <c r="F70" s="19">
        <v>337</v>
      </c>
      <c r="G70" s="19">
        <v>375</v>
      </c>
      <c r="H70" s="19">
        <v>226</v>
      </c>
      <c r="I70" s="19">
        <v>178</v>
      </c>
      <c r="J70" s="19">
        <v>51</v>
      </c>
      <c r="K70" s="25">
        <f>SUM(C70:J70)</f>
        <v>2710</v>
      </c>
    </row>
    <row r="71" spans="2:11">
      <c r="B71" s="380" t="s">
        <v>345</v>
      </c>
      <c r="C71" s="19">
        <v>620</v>
      </c>
      <c r="D71" s="19">
        <v>232</v>
      </c>
      <c r="E71" s="19">
        <v>188</v>
      </c>
      <c r="F71" s="19">
        <v>212</v>
      </c>
      <c r="G71" s="19">
        <v>162</v>
      </c>
      <c r="H71" s="19">
        <v>137</v>
      </c>
      <c r="I71" s="19">
        <v>113</v>
      </c>
      <c r="J71" s="19">
        <v>70</v>
      </c>
      <c r="K71" s="25">
        <f>SUM(C71:J71)</f>
        <v>1734</v>
      </c>
    </row>
    <row r="72" spans="2:11">
      <c r="B72" s="381" t="s">
        <v>301</v>
      </c>
      <c r="C72" s="284">
        <f>SUM(C70:C71)</f>
        <v>1362</v>
      </c>
      <c r="D72" s="284">
        <f t="shared" ref="D72:J72" si="10">SUM(D70:D71)</f>
        <v>645</v>
      </c>
      <c r="E72" s="284">
        <f t="shared" si="10"/>
        <v>576</v>
      </c>
      <c r="F72" s="284">
        <f t="shared" si="10"/>
        <v>549</v>
      </c>
      <c r="G72" s="284">
        <f t="shared" si="10"/>
        <v>537</v>
      </c>
      <c r="H72" s="284">
        <f t="shared" si="10"/>
        <v>363</v>
      </c>
      <c r="I72" s="284">
        <f t="shared" si="10"/>
        <v>291</v>
      </c>
      <c r="J72" s="284">
        <f t="shared" si="10"/>
        <v>121</v>
      </c>
      <c r="K72" s="367">
        <f>SUM(C72:J72)</f>
        <v>4444</v>
      </c>
    </row>
    <row r="73" spans="2:11">
      <c r="B73" s="264"/>
    </row>
    <row r="74" spans="2:11">
      <c r="B74" s="264"/>
    </row>
    <row r="75" spans="2:11">
      <c r="B75" s="369" t="s">
        <v>450</v>
      </c>
      <c r="C75" s="370"/>
      <c r="D75" s="370"/>
      <c r="E75" s="370"/>
      <c r="F75" s="370"/>
      <c r="G75" s="370"/>
      <c r="H75" s="370"/>
      <c r="I75" s="370"/>
      <c r="J75" s="370"/>
      <c r="K75" s="371" t="s">
        <v>439</v>
      </c>
    </row>
    <row r="76" spans="2:11" ht="36">
      <c r="B76" s="372" t="s">
        <v>262</v>
      </c>
      <c r="C76" s="373" t="s">
        <v>398</v>
      </c>
      <c r="D76" s="373" t="s">
        <v>399</v>
      </c>
      <c r="E76" s="373" t="s">
        <v>440</v>
      </c>
      <c r="F76" s="373" t="s">
        <v>441</v>
      </c>
      <c r="G76" s="373" t="s">
        <v>402</v>
      </c>
      <c r="H76" s="373" t="s">
        <v>403</v>
      </c>
      <c r="I76" s="373" t="s">
        <v>404</v>
      </c>
      <c r="J76" s="373" t="s">
        <v>405</v>
      </c>
      <c r="K76" s="374" t="s">
        <v>301</v>
      </c>
    </row>
    <row r="77" spans="2:11">
      <c r="B77" s="375" t="s">
        <v>442</v>
      </c>
      <c r="C77" s="370"/>
      <c r="D77" s="370"/>
      <c r="E77" s="370"/>
      <c r="F77" s="370"/>
      <c r="G77" s="370"/>
      <c r="H77" s="370"/>
      <c r="I77" s="370"/>
      <c r="J77" s="370"/>
      <c r="K77" s="376"/>
    </row>
    <row r="78" spans="2:11">
      <c r="B78" s="377" t="s">
        <v>297</v>
      </c>
      <c r="C78" s="19">
        <v>3274</v>
      </c>
      <c r="D78" s="19">
        <v>1608</v>
      </c>
      <c r="E78" s="19">
        <v>1136</v>
      </c>
      <c r="F78" s="19">
        <v>996</v>
      </c>
      <c r="G78" s="19">
        <v>845</v>
      </c>
      <c r="H78" s="19">
        <v>1253</v>
      </c>
      <c r="I78" s="19">
        <v>828</v>
      </c>
      <c r="J78" s="19">
        <v>126</v>
      </c>
      <c r="K78" s="25">
        <f>SUM(C78:J78)</f>
        <v>10066</v>
      </c>
    </row>
    <row r="79" spans="2:11">
      <c r="B79" s="377" t="s">
        <v>298</v>
      </c>
      <c r="C79" s="19">
        <v>905</v>
      </c>
      <c r="D79" s="19">
        <v>639</v>
      </c>
      <c r="E79" s="19">
        <v>483</v>
      </c>
      <c r="F79" s="19">
        <v>773</v>
      </c>
      <c r="G79" s="19">
        <v>884</v>
      </c>
      <c r="H79" s="19">
        <v>30</v>
      </c>
      <c r="I79" s="19">
        <v>295</v>
      </c>
      <c r="J79" s="19">
        <v>30</v>
      </c>
      <c r="K79" s="25">
        <f>SUM(C79:J79)</f>
        <v>4039</v>
      </c>
    </row>
    <row r="80" spans="2:11">
      <c r="B80" s="377" t="s">
        <v>443</v>
      </c>
      <c r="C80" s="19">
        <v>259</v>
      </c>
      <c r="D80" s="19">
        <v>12</v>
      </c>
      <c r="E80" s="19">
        <v>42</v>
      </c>
      <c r="F80" s="19">
        <v>21</v>
      </c>
      <c r="G80" s="19">
        <v>9</v>
      </c>
      <c r="H80" s="19">
        <v>55</v>
      </c>
      <c r="I80" s="19">
        <v>4</v>
      </c>
      <c r="J80" s="19">
        <v>78</v>
      </c>
      <c r="K80" s="25">
        <f>SUM(C80:J80)</f>
        <v>480</v>
      </c>
    </row>
    <row r="81" spans="2:11">
      <c r="B81" s="377" t="s">
        <v>444</v>
      </c>
      <c r="C81" s="19">
        <v>780</v>
      </c>
      <c r="D81" s="19">
        <v>120</v>
      </c>
      <c r="E81" s="19">
        <v>374</v>
      </c>
      <c r="F81" s="19">
        <v>152</v>
      </c>
      <c r="G81" s="19">
        <v>49</v>
      </c>
      <c r="H81" s="19">
        <v>8</v>
      </c>
      <c r="I81" s="19">
        <v>15</v>
      </c>
      <c r="J81" s="19">
        <v>228</v>
      </c>
      <c r="K81" s="25">
        <f>SUM(C81:J81)</f>
        <v>1726</v>
      </c>
    </row>
    <row r="82" spans="2:11">
      <c r="B82" s="378" t="s">
        <v>301</v>
      </c>
      <c r="C82" s="284">
        <f t="shared" ref="C82:K82" si="11">SUM(C78:C81)</f>
        <v>5218</v>
      </c>
      <c r="D82" s="284">
        <f t="shared" si="11"/>
        <v>2379</v>
      </c>
      <c r="E82" s="284">
        <f t="shared" si="11"/>
        <v>2035</v>
      </c>
      <c r="F82" s="284">
        <f t="shared" si="11"/>
        <v>1942</v>
      </c>
      <c r="G82" s="284">
        <f t="shared" si="11"/>
        <v>1787</v>
      </c>
      <c r="H82" s="284">
        <f t="shared" si="11"/>
        <v>1346</v>
      </c>
      <c r="I82" s="284">
        <f t="shared" si="11"/>
        <v>1142</v>
      </c>
      <c r="J82" s="284">
        <f t="shared" si="11"/>
        <v>462</v>
      </c>
      <c r="K82" s="367">
        <f t="shared" si="11"/>
        <v>16311</v>
      </c>
    </row>
    <row r="83" spans="2:11">
      <c r="B83" s="379"/>
      <c r="C83" s="26">
        <f t="shared" ref="C83:K83" si="12">C78/C82</f>
        <v>0.62744346492909164</v>
      </c>
      <c r="D83" s="26">
        <f t="shared" si="12"/>
        <v>0.67591424968474145</v>
      </c>
      <c r="E83" s="26">
        <f t="shared" si="12"/>
        <v>0.55823095823095825</v>
      </c>
      <c r="F83" s="26">
        <f t="shared" si="12"/>
        <v>0.51287332646755923</v>
      </c>
      <c r="G83" s="26">
        <f t="shared" si="12"/>
        <v>0.47285954113038614</v>
      </c>
      <c r="H83" s="26">
        <f t="shared" si="12"/>
        <v>0.9309063893016345</v>
      </c>
      <c r="I83" s="26">
        <f t="shared" si="12"/>
        <v>0.72504378283712789</v>
      </c>
      <c r="J83" s="26">
        <f t="shared" si="12"/>
        <v>0.27272727272727271</v>
      </c>
      <c r="K83" s="26">
        <f t="shared" si="12"/>
        <v>0.61712954447918578</v>
      </c>
    </row>
    <row r="84" spans="2:11">
      <c r="B84" s="375" t="s">
        <v>445</v>
      </c>
      <c r="C84" s="19"/>
      <c r="D84" s="19"/>
      <c r="E84" s="19"/>
      <c r="F84" s="19"/>
      <c r="G84" s="19"/>
      <c r="H84" s="19"/>
      <c r="I84" s="19"/>
      <c r="J84" s="19"/>
      <c r="K84" s="25"/>
    </row>
    <row r="85" spans="2:11">
      <c r="B85" s="380" t="s">
        <v>344</v>
      </c>
      <c r="C85" s="19">
        <v>2735</v>
      </c>
      <c r="D85" s="19">
        <v>1456</v>
      </c>
      <c r="E85" s="19">
        <v>1247</v>
      </c>
      <c r="F85" s="19">
        <v>1128</v>
      </c>
      <c r="G85" s="19">
        <v>1103</v>
      </c>
      <c r="H85" s="19">
        <v>780</v>
      </c>
      <c r="I85" s="19">
        <v>660</v>
      </c>
      <c r="J85" s="19">
        <v>194</v>
      </c>
      <c r="K85" s="25">
        <f>SUM(C85:J85)</f>
        <v>9303</v>
      </c>
    </row>
    <row r="86" spans="2:11">
      <c r="B86" s="380" t="s">
        <v>345</v>
      </c>
      <c r="C86" s="19">
        <v>2483</v>
      </c>
      <c r="D86" s="19">
        <v>923</v>
      </c>
      <c r="E86" s="19">
        <v>788</v>
      </c>
      <c r="F86" s="19">
        <v>814</v>
      </c>
      <c r="G86" s="19">
        <v>684</v>
      </c>
      <c r="H86" s="19">
        <v>566</v>
      </c>
      <c r="I86" s="19">
        <v>482</v>
      </c>
      <c r="J86" s="19">
        <v>268</v>
      </c>
      <c r="K86" s="25">
        <f>SUM(C86:J86)</f>
        <v>7008</v>
      </c>
    </row>
    <row r="87" spans="2:11">
      <c r="B87" s="381" t="s">
        <v>301</v>
      </c>
      <c r="C87" s="284">
        <f>SUM(C85:C86)</f>
        <v>5218</v>
      </c>
      <c r="D87" s="284">
        <f t="shared" ref="D87:J87" si="13">SUM(D85:D86)</f>
        <v>2379</v>
      </c>
      <c r="E87" s="284">
        <f t="shared" si="13"/>
        <v>2035</v>
      </c>
      <c r="F87" s="284">
        <f t="shared" si="13"/>
        <v>1942</v>
      </c>
      <c r="G87" s="284">
        <f t="shared" si="13"/>
        <v>1787</v>
      </c>
      <c r="H87" s="284">
        <f t="shared" si="13"/>
        <v>1346</v>
      </c>
      <c r="I87" s="284">
        <f t="shared" si="13"/>
        <v>1142</v>
      </c>
      <c r="J87" s="284">
        <f t="shared" si="13"/>
        <v>462</v>
      </c>
      <c r="K87" s="367">
        <f>SUM(C87:J87)</f>
        <v>16311</v>
      </c>
    </row>
    <row r="88" spans="2:11">
      <c r="B88" s="382"/>
      <c r="C88" s="370"/>
      <c r="D88" s="370"/>
      <c r="E88" s="370"/>
      <c r="F88" s="370"/>
      <c r="G88" s="370"/>
      <c r="H88" s="370"/>
      <c r="I88" s="370"/>
      <c r="J88" s="370"/>
      <c r="K88" s="370"/>
    </row>
    <row r="89" spans="2:11">
      <c r="B89" s="369" t="s">
        <v>451</v>
      </c>
      <c r="C89" s="370"/>
      <c r="D89" s="370"/>
      <c r="E89" s="370"/>
      <c r="F89" s="370"/>
      <c r="G89" s="370"/>
      <c r="H89" s="370"/>
      <c r="I89" s="370"/>
      <c r="J89" s="370"/>
      <c r="K89" s="371" t="s">
        <v>439</v>
      </c>
    </row>
    <row r="90" spans="2:11" ht="36">
      <c r="B90" s="372" t="s">
        <v>262</v>
      </c>
      <c r="C90" s="373" t="s">
        <v>398</v>
      </c>
      <c r="D90" s="373" t="s">
        <v>399</v>
      </c>
      <c r="E90" s="373" t="s">
        <v>440</v>
      </c>
      <c r="F90" s="373" t="s">
        <v>441</v>
      </c>
      <c r="G90" s="373" t="s">
        <v>402</v>
      </c>
      <c r="H90" s="373" t="s">
        <v>403</v>
      </c>
      <c r="I90" s="373" t="s">
        <v>404</v>
      </c>
      <c r="J90" s="373" t="s">
        <v>405</v>
      </c>
      <c r="K90" s="374" t="s">
        <v>301</v>
      </c>
    </row>
    <row r="91" spans="2:11">
      <c r="B91" s="375" t="s">
        <v>442</v>
      </c>
      <c r="C91" s="370"/>
      <c r="D91" s="370"/>
      <c r="E91" s="370"/>
      <c r="F91" s="370"/>
      <c r="G91" s="370"/>
      <c r="H91" s="370"/>
      <c r="I91" s="370"/>
      <c r="J91" s="370"/>
      <c r="K91" s="376"/>
    </row>
    <row r="92" spans="2:11">
      <c r="B92" s="377" t="s">
        <v>297</v>
      </c>
      <c r="C92" s="19">
        <v>853</v>
      </c>
      <c r="D92" s="19">
        <v>415</v>
      </c>
      <c r="E92" s="19">
        <v>317</v>
      </c>
      <c r="F92" s="19">
        <v>259</v>
      </c>
      <c r="G92" s="19">
        <v>219</v>
      </c>
      <c r="H92" s="19">
        <v>326</v>
      </c>
      <c r="I92" s="19">
        <v>209</v>
      </c>
      <c r="J92" s="19">
        <v>32</v>
      </c>
      <c r="K92" s="25">
        <f>SUM(C92:J92)</f>
        <v>2630</v>
      </c>
    </row>
    <row r="93" spans="2:11">
      <c r="B93" s="377" t="s">
        <v>298</v>
      </c>
      <c r="C93" s="19">
        <v>225</v>
      </c>
      <c r="D93" s="19">
        <v>164</v>
      </c>
      <c r="E93" s="19">
        <v>124</v>
      </c>
      <c r="F93" s="19">
        <v>207</v>
      </c>
      <c r="G93" s="19">
        <v>271</v>
      </c>
      <c r="H93" s="19">
        <v>8</v>
      </c>
      <c r="I93" s="19">
        <v>70</v>
      </c>
      <c r="J93" s="19">
        <v>8</v>
      </c>
      <c r="K93" s="25">
        <f>SUM(C93:J93)</f>
        <v>1077</v>
      </c>
    </row>
    <row r="94" spans="2:11">
      <c r="B94" s="377" t="s">
        <v>443</v>
      </c>
      <c r="C94" s="19">
        <v>76</v>
      </c>
      <c r="D94" s="19">
        <v>2</v>
      </c>
      <c r="E94" s="19">
        <v>7</v>
      </c>
      <c r="F94" s="19">
        <v>7</v>
      </c>
      <c r="G94" s="19">
        <v>2</v>
      </c>
      <c r="H94" s="19">
        <v>15</v>
      </c>
      <c r="I94" s="19">
        <v>1</v>
      </c>
      <c r="J94" s="19">
        <v>28</v>
      </c>
      <c r="K94" s="25">
        <f>SUM(C94:J94)</f>
        <v>138</v>
      </c>
    </row>
    <row r="95" spans="2:11">
      <c r="B95" s="377" t="s">
        <v>444</v>
      </c>
      <c r="C95" s="19">
        <v>185</v>
      </c>
      <c r="D95" s="19">
        <v>32</v>
      </c>
      <c r="E95" s="19">
        <v>100</v>
      </c>
      <c r="F95" s="19">
        <v>41</v>
      </c>
      <c r="G95" s="19">
        <v>13</v>
      </c>
      <c r="H95" s="19">
        <v>2</v>
      </c>
      <c r="I95" s="19">
        <v>4</v>
      </c>
      <c r="J95" s="19">
        <v>58</v>
      </c>
      <c r="K95" s="25">
        <f>SUM(C95:J95)</f>
        <v>435</v>
      </c>
    </row>
    <row r="96" spans="2:11">
      <c r="B96" s="378" t="s">
        <v>301</v>
      </c>
      <c r="C96" s="284">
        <f t="shared" ref="C96:K96" si="14">SUM(C92:C95)</f>
        <v>1339</v>
      </c>
      <c r="D96" s="284">
        <f t="shared" si="14"/>
        <v>613</v>
      </c>
      <c r="E96" s="284">
        <f t="shared" si="14"/>
        <v>548</v>
      </c>
      <c r="F96" s="284">
        <f t="shared" si="14"/>
        <v>514</v>
      </c>
      <c r="G96" s="284">
        <f t="shared" si="14"/>
        <v>505</v>
      </c>
      <c r="H96" s="284">
        <f t="shared" si="14"/>
        <v>351</v>
      </c>
      <c r="I96" s="284">
        <f t="shared" si="14"/>
        <v>284</v>
      </c>
      <c r="J96" s="284">
        <f t="shared" si="14"/>
        <v>126</v>
      </c>
      <c r="K96" s="367">
        <f t="shared" si="14"/>
        <v>4280</v>
      </c>
    </row>
    <row r="97" spans="2:11">
      <c r="B97" s="379"/>
      <c r="C97" s="26"/>
      <c r="D97" s="26"/>
      <c r="E97" s="26"/>
      <c r="F97" s="26"/>
      <c r="G97" s="26"/>
      <c r="H97" s="26"/>
      <c r="I97" s="26"/>
      <c r="J97" s="26"/>
      <c r="K97" s="25"/>
    </row>
    <row r="98" spans="2:11">
      <c r="B98" s="375" t="s">
        <v>445</v>
      </c>
      <c r="C98" s="19"/>
      <c r="D98" s="19"/>
      <c r="E98" s="19"/>
      <c r="F98" s="19"/>
      <c r="G98" s="19"/>
      <c r="H98" s="19"/>
      <c r="I98" s="19"/>
      <c r="J98" s="19"/>
      <c r="K98" s="25"/>
    </row>
    <row r="99" spans="2:11">
      <c r="B99" s="380" t="s">
        <v>344</v>
      </c>
      <c r="C99" s="19">
        <v>707</v>
      </c>
      <c r="D99" s="19">
        <v>388</v>
      </c>
      <c r="E99" s="19">
        <v>361</v>
      </c>
      <c r="F99" s="19">
        <v>307</v>
      </c>
      <c r="G99" s="19">
        <v>332</v>
      </c>
      <c r="H99" s="19">
        <v>210</v>
      </c>
      <c r="I99" s="19">
        <v>168</v>
      </c>
      <c r="J99" s="19">
        <v>59</v>
      </c>
      <c r="K99" s="25">
        <f>SUM(C99:J99)</f>
        <v>2532</v>
      </c>
    </row>
    <row r="100" spans="2:11">
      <c r="B100" s="380" t="s">
        <v>345</v>
      </c>
      <c r="C100" s="19">
        <v>632</v>
      </c>
      <c r="D100" s="19">
        <v>225</v>
      </c>
      <c r="E100" s="19">
        <v>187</v>
      </c>
      <c r="F100" s="19">
        <v>207</v>
      </c>
      <c r="G100" s="19">
        <v>173</v>
      </c>
      <c r="H100" s="19">
        <v>141</v>
      </c>
      <c r="I100" s="19">
        <v>116</v>
      </c>
      <c r="J100" s="19">
        <v>67</v>
      </c>
      <c r="K100" s="25">
        <f>SUM(C100:J100)</f>
        <v>1748</v>
      </c>
    </row>
    <row r="101" spans="2:11">
      <c r="B101" s="381" t="s">
        <v>301</v>
      </c>
      <c r="C101" s="284">
        <f>SUM(C99:C100)</f>
        <v>1339</v>
      </c>
      <c r="D101" s="284">
        <f t="shared" ref="D101:J101" si="15">SUM(D99:D100)</f>
        <v>613</v>
      </c>
      <c r="E101" s="284">
        <f t="shared" si="15"/>
        <v>548</v>
      </c>
      <c r="F101" s="284">
        <f t="shared" si="15"/>
        <v>514</v>
      </c>
      <c r="G101" s="284">
        <f t="shared" si="15"/>
        <v>505</v>
      </c>
      <c r="H101" s="284">
        <f t="shared" si="15"/>
        <v>351</v>
      </c>
      <c r="I101" s="284">
        <f t="shared" si="15"/>
        <v>284</v>
      </c>
      <c r="J101" s="284">
        <f t="shared" si="15"/>
        <v>126</v>
      </c>
      <c r="K101" s="367">
        <f>SUM(C101:J101)</f>
        <v>4280</v>
      </c>
    </row>
    <row r="102" spans="2:11">
      <c r="B102" s="264"/>
    </row>
    <row r="103" spans="2:11">
      <c r="B103" s="265" t="s">
        <v>452</v>
      </c>
      <c r="K103" s="366" t="s">
        <v>439</v>
      </c>
    </row>
    <row r="104" spans="2:11" ht="36">
      <c r="B104" s="267" t="s">
        <v>262</v>
      </c>
      <c r="C104" s="266" t="s">
        <v>398</v>
      </c>
      <c r="D104" s="266" t="s">
        <v>399</v>
      </c>
      <c r="E104" s="266" t="s">
        <v>440</v>
      </c>
      <c r="F104" s="266" t="s">
        <v>441</v>
      </c>
      <c r="G104" s="266" t="s">
        <v>402</v>
      </c>
      <c r="H104" s="266" t="s">
        <v>403</v>
      </c>
      <c r="I104" s="266" t="s">
        <v>404</v>
      </c>
      <c r="J104" s="266" t="s">
        <v>405</v>
      </c>
      <c r="K104" s="268" t="s">
        <v>301</v>
      </c>
    </row>
    <row r="105" spans="2:11">
      <c r="B105" s="269" t="s">
        <v>442</v>
      </c>
      <c r="K105" s="21"/>
    </row>
    <row r="106" spans="2:11">
      <c r="B106" s="271" t="s">
        <v>297</v>
      </c>
      <c r="C106" s="19">
        <v>841</v>
      </c>
      <c r="D106" s="19">
        <v>418</v>
      </c>
      <c r="E106" s="19">
        <v>307</v>
      </c>
      <c r="F106" s="19">
        <v>260</v>
      </c>
      <c r="G106" s="19">
        <v>220</v>
      </c>
      <c r="H106" s="19">
        <v>319</v>
      </c>
      <c r="I106" s="19">
        <v>230</v>
      </c>
      <c r="J106" s="19">
        <v>32</v>
      </c>
      <c r="K106" s="25">
        <f>SUM(C106:J106)</f>
        <v>2627</v>
      </c>
    </row>
    <row r="107" spans="2:11">
      <c r="B107" s="271" t="s">
        <v>298</v>
      </c>
      <c r="C107" s="19">
        <v>230</v>
      </c>
      <c r="D107" s="19">
        <v>163</v>
      </c>
      <c r="E107" s="19">
        <v>130</v>
      </c>
      <c r="F107" s="19">
        <v>197</v>
      </c>
      <c r="G107" s="19">
        <v>239</v>
      </c>
      <c r="H107" s="19">
        <v>7</v>
      </c>
      <c r="I107" s="19">
        <v>84</v>
      </c>
      <c r="J107" s="19">
        <v>8</v>
      </c>
      <c r="K107" s="25">
        <f>SUM(C107:J107)</f>
        <v>1058</v>
      </c>
    </row>
    <row r="108" spans="2:11">
      <c r="B108" s="271" t="s">
        <v>443</v>
      </c>
      <c r="C108" s="19">
        <v>66</v>
      </c>
      <c r="D108" s="19">
        <v>3</v>
      </c>
      <c r="E108" s="19">
        <v>6</v>
      </c>
      <c r="F108" s="19">
        <v>5</v>
      </c>
      <c r="G108" s="19">
        <v>2</v>
      </c>
      <c r="H108" s="19">
        <v>14</v>
      </c>
      <c r="I108" s="19">
        <v>1</v>
      </c>
      <c r="J108" s="19">
        <v>30</v>
      </c>
      <c r="K108" s="25">
        <f>SUM(C108:J108)</f>
        <v>127</v>
      </c>
    </row>
    <row r="109" spans="2:11">
      <c r="B109" s="271" t="s">
        <v>444</v>
      </c>
      <c r="C109" s="19">
        <v>200</v>
      </c>
      <c r="D109" s="19">
        <v>31</v>
      </c>
      <c r="E109" s="19">
        <v>88</v>
      </c>
      <c r="F109" s="19">
        <v>37</v>
      </c>
      <c r="G109" s="19">
        <v>18</v>
      </c>
      <c r="H109" s="19">
        <v>2</v>
      </c>
      <c r="I109" s="19">
        <v>3</v>
      </c>
      <c r="J109" s="19">
        <v>59</v>
      </c>
      <c r="K109" s="25">
        <f>SUM(C109:J109)</f>
        <v>438</v>
      </c>
    </row>
    <row r="110" spans="2:11">
      <c r="B110" s="272" t="s">
        <v>301</v>
      </c>
      <c r="C110" s="284">
        <f t="shared" ref="C110:K110" si="16">SUM(C106:C109)</f>
        <v>1337</v>
      </c>
      <c r="D110" s="284">
        <f t="shared" si="16"/>
        <v>615</v>
      </c>
      <c r="E110" s="284">
        <f t="shared" si="16"/>
        <v>531</v>
      </c>
      <c r="F110" s="284">
        <f t="shared" si="16"/>
        <v>499</v>
      </c>
      <c r="G110" s="284">
        <f t="shared" si="16"/>
        <v>479</v>
      </c>
      <c r="H110" s="284">
        <f t="shared" si="16"/>
        <v>342</v>
      </c>
      <c r="I110" s="284">
        <f t="shared" si="16"/>
        <v>318</v>
      </c>
      <c r="J110" s="284">
        <f t="shared" si="16"/>
        <v>129</v>
      </c>
      <c r="K110" s="367">
        <f t="shared" si="16"/>
        <v>4250</v>
      </c>
    </row>
    <row r="111" spans="2:11">
      <c r="B111" s="226"/>
      <c r="C111" s="26"/>
      <c r="D111" s="26"/>
      <c r="E111" s="26"/>
      <c r="F111" s="26"/>
      <c r="G111" s="26"/>
      <c r="H111" s="26"/>
      <c r="I111" s="26"/>
      <c r="J111" s="26"/>
      <c r="K111" s="25"/>
    </row>
    <row r="112" spans="2:11">
      <c r="B112" s="269" t="s">
        <v>445</v>
      </c>
      <c r="C112" s="19"/>
      <c r="D112" s="19"/>
      <c r="E112" s="19"/>
      <c r="F112" s="19"/>
      <c r="G112" s="19"/>
      <c r="H112" s="19"/>
      <c r="I112" s="19"/>
      <c r="J112" s="19"/>
      <c r="K112" s="25"/>
    </row>
    <row r="113" spans="2:11">
      <c r="B113" s="274" t="s">
        <v>344</v>
      </c>
      <c r="C113" s="19">
        <v>702</v>
      </c>
      <c r="D113" s="19">
        <v>386</v>
      </c>
      <c r="E113" s="19">
        <v>325</v>
      </c>
      <c r="F113" s="19">
        <v>295</v>
      </c>
      <c r="G113" s="19">
        <v>325</v>
      </c>
      <c r="H113" s="19">
        <v>201</v>
      </c>
      <c r="I113" s="19">
        <v>194</v>
      </c>
      <c r="J113" s="19">
        <v>59</v>
      </c>
      <c r="K113" s="25">
        <f>SUM(C113:J113)</f>
        <v>2487</v>
      </c>
    </row>
    <row r="114" spans="2:11">
      <c r="B114" s="274" t="s">
        <v>345</v>
      </c>
      <c r="C114" s="19">
        <v>635</v>
      </c>
      <c r="D114" s="19">
        <v>229</v>
      </c>
      <c r="E114" s="19">
        <v>206</v>
      </c>
      <c r="F114" s="19">
        <v>204</v>
      </c>
      <c r="G114" s="19">
        <v>154</v>
      </c>
      <c r="H114" s="19">
        <v>141</v>
      </c>
      <c r="I114" s="19">
        <v>124</v>
      </c>
      <c r="J114" s="19">
        <v>70</v>
      </c>
      <c r="K114" s="25">
        <f>SUM(C114:J114)</f>
        <v>1763</v>
      </c>
    </row>
    <row r="115" spans="2:11">
      <c r="B115" s="270" t="s">
        <v>301</v>
      </c>
      <c r="C115" s="284">
        <f>SUM(C113:C114)</f>
        <v>1337</v>
      </c>
      <c r="D115" s="284">
        <f t="shared" ref="D115:J115" si="17">SUM(D113:D114)</f>
        <v>615</v>
      </c>
      <c r="E115" s="284">
        <f t="shared" si="17"/>
        <v>531</v>
      </c>
      <c r="F115" s="284">
        <f t="shared" si="17"/>
        <v>499</v>
      </c>
      <c r="G115" s="284">
        <f t="shared" si="17"/>
        <v>479</v>
      </c>
      <c r="H115" s="284">
        <f t="shared" si="17"/>
        <v>342</v>
      </c>
      <c r="I115" s="284">
        <f t="shared" si="17"/>
        <v>318</v>
      </c>
      <c r="J115" s="284">
        <f t="shared" si="17"/>
        <v>129</v>
      </c>
      <c r="K115" s="367">
        <f>SUM(C115:J115)</f>
        <v>4250</v>
      </c>
    </row>
    <row r="116" spans="2:11">
      <c r="B116" s="264"/>
    </row>
    <row r="117" spans="2:11">
      <c r="B117" s="264"/>
    </row>
    <row r="118" spans="2:11">
      <c r="B118" s="265" t="s">
        <v>453</v>
      </c>
      <c r="K118" s="366" t="s">
        <v>439</v>
      </c>
    </row>
    <row r="119" spans="2:11" ht="36">
      <c r="B119" s="267" t="s">
        <v>262</v>
      </c>
      <c r="C119" s="266" t="s">
        <v>398</v>
      </c>
      <c r="D119" s="266" t="s">
        <v>399</v>
      </c>
      <c r="E119" s="266" t="s">
        <v>440</v>
      </c>
      <c r="F119" s="266" t="s">
        <v>441</v>
      </c>
      <c r="G119" s="266" t="s">
        <v>402</v>
      </c>
      <c r="H119" s="266" t="s">
        <v>403</v>
      </c>
      <c r="I119" s="266" t="s">
        <v>404</v>
      </c>
      <c r="J119" s="266" t="s">
        <v>405</v>
      </c>
      <c r="K119" s="268" t="s">
        <v>301</v>
      </c>
    </row>
    <row r="120" spans="2:11">
      <c r="B120" s="269" t="s">
        <v>442</v>
      </c>
      <c r="K120" s="21"/>
    </row>
    <row r="121" spans="2:11">
      <c r="B121" s="271" t="s">
        <v>297</v>
      </c>
      <c r="C121" s="19">
        <v>802</v>
      </c>
      <c r="D121" s="19">
        <v>397</v>
      </c>
      <c r="E121" s="19">
        <v>271</v>
      </c>
      <c r="F121" s="19">
        <v>244</v>
      </c>
      <c r="G121" s="19">
        <v>212</v>
      </c>
      <c r="H121" s="19">
        <v>316</v>
      </c>
      <c r="I121" s="19">
        <v>203</v>
      </c>
      <c r="J121" s="19">
        <v>31</v>
      </c>
      <c r="K121" s="25">
        <f>SUM(C121:J121)</f>
        <v>2476</v>
      </c>
    </row>
    <row r="122" spans="2:11">
      <c r="B122" s="271" t="s">
        <v>298</v>
      </c>
      <c r="C122" s="19">
        <v>227</v>
      </c>
      <c r="D122" s="19">
        <v>155</v>
      </c>
      <c r="E122" s="19">
        <v>117</v>
      </c>
      <c r="F122" s="19">
        <v>188</v>
      </c>
      <c r="G122" s="19">
        <v>213</v>
      </c>
      <c r="H122" s="19">
        <v>7</v>
      </c>
      <c r="I122" s="19">
        <v>75</v>
      </c>
      <c r="J122" s="19">
        <v>7</v>
      </c>
      <c r="K122" s="25">
        <f>SUM(C122:J122)</f>
        <v>989</v>
      </c>
    </row>
    <row r="123" spans="2:11">
      <c r="B123" s="271" t="s">
        <v>443</v>
      </c>
      <c r="C123" s="19">
        <v>63</v>
      </c>
      <c r="D123" s="19">
        <v>3</v>
      </c>
      <c r="E123" s="19">
        <v>14</v>
      </c>
      <c r="F123" s="19">
        <v>5</v>
      </c>
      <c r="G123" s="19">
        <v>3</v>
      </c>
      <c r="H123" s="19">
        <v>14</v>
      </c>
      <c r="I123" s="19">
        <v>1</v>
      </c>
      <c r="J123" s="19">
        <v>1</v>
      </c>
      <c r="K123" s="25">
        <f>SUM(C123:J123)</f>
        <v>104</v>
      </c>
    </row>
    <row r="124" spans="2:11">
      <c r="B124" s="271" t="s">
        <v>444</v>
      </c>
      <c r="C124" s="19">
        <v>200</v>
      </c>
      <c r="D124" s="19">
        <v>30</v>
      </c>
      <c r="E124" s="19">
        <v>93</v>
      </c>
      <c r="F124" s="19">
        <v>36</v>
      </c>
      <c r="G124" s="19">
        <v>7</v>
      </c>
      <c r="H124" s="19">
        <v>2</v>
      </c>
      <c r="I124" s="19">
        <v>5</v>
      </c>
      <c r="J124" s="19">
        <v>56</v>
      </c>
      <c r="K124" s="25">
        <f>SUM(C124:J124)</f>
        <v>429</v>
      </c>
    </row>
    <row r="125" spans="2:11">
      <c r="B125" s="272" t="s">
        <v>301</v>
      </c>
      <c r="C125" s="284">
        <f t="shared" ref="C125:K125" si="18">SUM(C121:C124)</f>
        <v>1292</v>
      </c>
      <c r="D125" s="284">
        <f t="shared" si="18"/>
        <v>585</v>
      </c>
      <c r="E125" s="284">
        <f t="shared" si="18"/>
        <v>495</v>
      </c>
      <c r="F125" s="284">
        <f t="shared" si="18"/>
        <v>473</v>
      </c>
      <c r="G125" s="284">
        <f t="shared" si="18"/>
        <v>435</v>
      </c>
      <c r="H125" s="284">
        <f t="shared" si="18"/>
        <v>339</v>
      </c>
      <c r="I125" s="284">
        <f t="shared" si="18"/>
        <v>284</v>
      </c>
      <c r="J125" s="284">
        <f t="shared" si="18"/>
        <v>95</v>
      </c>
      <c r="K125" s="367">
        <f t="shared" si="18"/>
        <v>3998</v>
      </c>
    </row>
    <row r="126" spans="2:11">
      <c r="B126" s="226"/>
      <c r="C126" s="26"/>
      <c r="D126" s="26"/>
      <c r="E126" s="26"/>
      <c r="F126" s="26"/>
      <c r="G126" s="26"/>
      <c r="H126" s="26"/>
      <c r="I126" s="26"/>
      <c r="J126" s="26"/>
      <c r="K126" s="25"/>
    </row>
    <row r="127" spans="2:11">
      <c r="B127" s="269" t="s">
        <v>445</v>
      </c>
      <c r="C127" s="19"/>
      <c r="D127" s="19"/>
      <c r="E127" s="19"/>
      <c r="F127" s="19"/>
      <c r="G127" s="19"/>
      <c r="H127" s="19"/>
      <c r="I127" s="19"/>
      <c r="J127" s="19"/>
      <c r="K127" s="25"/>
    </row>
    <row r="128" spans="2:11">
      <c r="B128" s="274" t="s">
        <v>344</v>
      </c>
      <c r="C128" s="19">
        <v>673</v>
      </c>
      <c r="D128" s="19">
        <v>357</v>
      </c>
      <c r="E128" s="19">
        <v>300</v>
      </c>
      <c r="F128" s="19">
        <v>274</v>
      </c>
      <c r="G128" s="19">
        <v>250</v>
      </c>
      <c r="H128" s="19">
        <v>196</v>
      </c>
      <c r="I128" s="19">
        <v>161</v>
      </c>
      <c r="J128" s="19">
        <v>32</v>
      </c>
      <c r="K128" s="25">
        <f>SUM(C128:J128)</f>
        <v>2243</v>
      </c>
    </row>
    <row r="129" spans="2:11">
      <c r="B129" s="274" t="s">
        <v>345</v>
      </c>
      <c r="C129" s="19">
        <v>619</v>
      </c>
      <c r="D129" s="19">
        <v>228</v>
      </c>
      <c r="E129" s="19">
        <v>195</v>
      </c>
      <c r="F129" s="19">
        <v>199</v>
      </c>
      <c r="G129" s="19">
        <v>185</v>
      </c>
      <c r="H129" s="19">
        <v>143</v>
      </c>
      <c r="I129" s="19">
        <v>123</v>
      </c>
      <c r="J129" s="19">
        <v>63</v>
      </c>
      <c r="K129" s="25">
        <f>SUM(C129:J129)</f>
        <v>1755</v>
      </c>
    </row>
    <row r="130" spans="2:11">
      <c r="B130" s="270" t="s">
        <v>301</v>
      </c>
      <c r="C130" s="284">
        <f>SUM(C128:C129)</f>
        <v>1292</v>
      </c>
      <c r="D130" s="284">
        <f t="shared" ref="D130:J130" si="19">SUM(D128:D129)</f>
        <v>585</v>
      </c>
      <c r="E130" s="284">
        <f t="shared" si="19"/>
        <v>495</v>
      </c>
      <c r="F130" s="284">
        <f t="shared" si="19"/>
        <v>473</v>
      </c>
      <c r="G130" s="284">
        <f t="shared" si="19"/>
        <v>435</v>
      </c>
      <c r="H130" s="284">
        <f t="shared" si="19"/>
        <v>339</v>
      </c>
      <c r="I130" s="284">
        <f t="shared" si="19"/>
        <v>284</v>
      </c>
      <c r="J130" s="284">
        <f t="shared" si="19"/>
        <v>95</v>
      </c>
      <c r="K130" s="367">
        <f>SUM(C130:J130)</f>
        <v>3998</v>
      </c>
    </row>
    <row r="131" spans="2:11">
      <c r="B131" s="264"/>
    </row>
    <row r="132" spans="2:11">
      <c r="B132" s="264"/>
    </row>
    <row r="133" spans="2:11">
      <c r="B133" s="265" t="s">
        <v>454</v>
      </c>
      <c r="K133" s="366" t="s">
        <v>439</v>
      </c>
    </row>
    <row r="134" spans="2:11" ht="36">
      <c r="B134" s="267" t="s">
        <v>262</v>
      </c>
      <c r="C134" s="266" t="s">
        <v>398</v>
      </c>
      <c r="D134" s="266" t="s">
        <v>399</v>
      </c>
      <c r="E134" s="266" t="s">
        <v>440</v>
      </c>
      <c r="F134" s="266" t="s">
        <v>441</v>
      </c>
      <c r="G134" s="266" t="s">
        <v>402</v>
      </c>
      <c r="H134" s="266" t="s">
        <v>403</v>
      </c>
      <c r="I134" s="266" t="s">
        <v>404</v>
      </c>
      <c r="J134" s="266" t="s">
        <v>405</v>
      </c>
      <c r="K134" s="268" t="s">
        <v>301</v>
      </c>
    </row>
    <row r="135" spans="2:11">
      <c r="B135" s="269" t="s">
        <v>455</v>
      </c>
      <c r="K135" s="21"/>
    </row>
    <row r="136" spans="2:11">
      <c r="B136" s="271" t="s">
        <v>297</v>
      </c>
      <c r="C136" s="19">
        <v>777</v>
      </c>
      <c r="D136" s="19">
        <v>378</v>
      </c>
      <c r="E136" s="19">
        <v>241</v>
      </c>
      <c r="F136" s="19">
        <v>234</v>
      </c>
      <c r="G136" s="19">
        <v>195</v>
      </c>
      <c r="H136" s="19">
        <v>292</v>
      </c>
      <c r="I136" s="19">
        <v>185</v>
      </c>
      <c r="J136" s="19">
        <v>31</v>
      </c>
      <c r="K136" s="25">
        <f>SUM(C136:J136)</f>
        <v>2333</v>
      </c>
    </row>
    <row r="137" spans="2:11">
      <c r="B137" s="271" t="s">
        <v>298</v>
      </c>
      <c r="C137" s="19">
        <v>223</v>
      </c>
      <c r="D137" s="19">
        <v>156</v>
      </c>
      <c r="E137" s="19">
        <v>112</v>
      </c>
      <c r="F137" s="19">
        <v>181</v>
      </c>
      <c r="G137" s="19">
        <v>160</v>
      </c>
      <c r="H137" s="19">
        <v>7</v>
      </c>
      <c r="I137" s="19">
        <v>66</v>
      </c>
      <c r="J137" s="19">
        <v>8</v>
      </c>
      <c r="K137" s="25">
        <f>SUM(C137:J137)</f>
        <v>913</v>
      </c>
    </row>
    <row r="138" spans="2:11">
      <c r="B138" s="271" t="s">
        <v>443</v>
      </c>
      <c r="C138" s="19">
        <v>55</v>
      </c>
      <c r="D138" s="19">
        <v>4</v>
      </c>
      <c r="E138" s="19">
        <v>15</v>
      </c>
      <c r="F138" s="19">
        <v>4</v>
      </c>
      <c r="G138" s="19">
        <v>2</v>
      </c>
      <c r="H138" s="19">
        <v>12</v>
      </c>
      <c r="I138" s="19">
        <v>1</v>
      </c>
      <c r="J138" s="19">
        <v>18</v>
      </c>
      <c r="K138" s="25">
        <f>SUM(C138:J138)</f>
        <v>111</v>
      </c>
    </row>
    <row r="139" spans="2:11">
      <c r="B139" s="271" t="s">
        <v>444</v>
      </c>
      <c r="C139" s="19">
        <v>195</v>
      </c>
      <c r="D139" s="19">
        <v>28</v>
      </c>
      <c r="E139" s="19">
        <v>94</v>
      </c>
      <c r="F139" s="19">
        <v>38</v>
      </c>
      <c r="G139" s="19">
        <v>9</v>
      </c>
      <c r="H139" s="19">
        <v>2</v>
      </c>
      <c r="I139" s="19">
        <v>4</v>
      </c>
      <c r="J139" s="19">
        <v>55</v>
      </c>
      <c r="K139" s="25">
        <f>SUM(C139:J139)</f>
        <v>425</v>
      </c>
    </row>
    <row r="140" spans="2:11">
      <c r="B140" s="272" t="s">
        <v>301</v>
      </c>
      <c r="C140" s="284">
        <f t="shared" ref="C140:K140" si="20">SUM(C136:C139)</f>
        <v>1250</v>
      </c>
      <c r="D140" s="284">
        <f t="shared" si="20"/>
        <v>566</v>
      </c>
      <c r="E140" s="284">
        <f t="shared" si="20"/>
        <v>462</v>
      </c>
      <c r="F140" s="284">
        <f t="shared" si="20"/>
        <v>457</v>
      </c>
      <c r="G140" s="284">
        <f t="shared" si="20"/>
        <v>366</v>
      </c>
      <c r="H140" s="284">
        <f t="shared" si="20"/>
        <v>313</v>
      </c>
      <c r="I140" s="284">
        <f t="shared" si="20"/>
        <v>256</v>
      </c>
      <c r="J140" s="284">
        <f t="shared" si="20"/>
        <v>112</v>
      </c>
      <c r="K140" s="367">
        <f t="shared" si="20"/>
        <v>3782</v>
      </c>
    </row>
    <row r="141" spans="2:11">
      <c r="B141" s="226"/>
      <c r="C141" s="26"/>
      <c r="D141" s="26"/>
      <c r="E141" s="26"/>
      <c r="F141" s="26"/>
      <c r="G141" s="26"/>
      <c r="H141" s="26"/>
      <c r="I141" s="26"/>
      <c r="J141" s="26"/>
      <c r="K141" s="25"/>
    </row>
    <row r="142" spans="2:11">
      <c r="B142" s="269" t="s">
        <v>445</v>
      </c>
      <c r="C142" s="19"/>
      <c r="D142" s="19"/>
      <c r="E142" s="19"/>
      <c r="F142" s="19"/>
      <c r="G142" s="19"/>
      <c r="H142" s="19"/>
      <c r="I142" s="19"/>
      <c r="J142" s="19"/>
      <c r="K142" s="25"/>
    </row>
    <row r="143" spans="2:11">
      <c r="B143" s="274" t="s">
        <v>344</v>
      </c>
      <c r="C143" s="19">
        <v>653</v>
      </c>
      <c r="D143" s="19">
        <v>324</v>
      </c>
      <c r="E143" s="19">
        <v>262</v>
      </c>
      <c r="F143" s="19">
        <v>252</v>
      </c>
      <c r="G143" s="19">
        <v>195</v>
      </c>
      <c r="H143" s="19">
        <v>173</v>
      </c>
      <c r="I143" s="19">
        <v>137</v>
      </c>
      <c r="J143" s="19">
        <v>44</v>
      </c>
      <c r="K143" s="25">
        <f>SUM(C143:J143)</f>
        <v>2040</v>
      </c>
    </row>
    <row r="144" spans="2:11">
      <c r="B144" s="274" t="s">
        <v>345</v>
      </c>
      <c r="C144" s="19">
        <v>597</v>
      </c>
      <c r="D144" s="19">
        <v>242</v>
      </c>
      <c r="E144" s="19">
        <v>200</v>
      </c>
      <c r="F144" s="19">
        <v>205</v>
      </c>
      <c r="G144" s="19">
        <v>171</v>
      </c>
      <c r="H144" s="19">
        <v>140</v>
      </c>
      <c r="I144" s="19">
        <v>119</v>
      </c>
      <c r="J144" s="19">
        <v>68</v>
      </c>
      <c r="K144" s="25">
        <f>SUM(C144:J144)</f>
        <v>1742</v>
      </c>
    </row>
    <row r="145" spans="2:11">
      <c r="B145" s="270" t="s">
        <v>301</v>
      </c>
      <c r="C145" s="284">
        <f>SUM(C143:C144)</f>
        <v>1250</v>
      </c>
      <c r="D145" s="284">
        <f t="shared" ref="D145:J145" si="21">SUM(D143:D144)</f>
        <v>566</v>
      </c>
      <c r="E145" s="284">
        <f t="shared" si="21"/>
        <v>462</v>
      </c>
      <c r="F145" s="284">
        <f t="shared" si="21"/>
        <v>457</v>
      </c>
      <c r="G145" s="284">
        <f t="shared" si="21"/>
        <v>366</v>
      </c>
      <c r="H145" s="284">
        <f t="shared" si="21"/>
        <v>313</v>
      </c>
      <c r="I145" s="284">
        <f t="shared" si="21"/>
        <v>256</v>
      </c>
      <c r="J145" s="284">
        <f t="shared" si="21"/>
        <v>112</v>
      </c>
      <c r="K145" s="367">
        <f>SUM(C145:J145)</f>
        <v>3782</v>
      </c>
    </row>
    <row r="146" spans="2:11">
      <c r="B146" s="264"/>
    </row>
    <row r="147" spans="2:11">
      <c r="B147" s="264"/>
    </row>
    <row r="148" spans="2:11">
      <c r="B148" s="265" t="s">
        <v>456</v>
      </c>
      <c r="K148" s="366" t="s">
        <v>439</v>
      </c>
    </row>
    <row r="149" spans="2:11" ht="36">
      <c r="B149" s="267" t="s">
        <v>262</v>
      </c>
      <c r="C149" s="266" t="s">
        <v>398</v>
      </c>
      <c r="D149" s="266" t="s">
        <v>399</v>
      </c>
      <c r="E149" s="266" t="s">
        <v>440</v>
      </c>
      <c r="F149" s="266" t="s">
        <v>441</v>
      </c>
      <c r="G149" s="266" t="s">
        <v>402</v>
      </c>
      <c r="H149" s="266" t="s">
        <v>403</v>
      </c>
      <c r="I149" s="266" t="s">
        <v>404</v>
      </c>
      <c r="J149" s="266" t="s">
        <v>405</v>
      </c>
      <c r="K149" s="268" t="s">
        <v>301</v>
      </c>
    </row>
    <row r="150" spans="2:11">
      <c r="B150" s="269" t="s">
        <v>442</v>
      </c>
      <c r="K150" s="21"/>
    </row>
    <row r="151" spans="2:11">
      <c r="B151" s="271" t="s">
        <v>297</v>
      </c>
      <c r="C151" s="19">
        <v>2636</v>
      </c>
      <c r="D151" s="19">
        <v>1313</v>
      </c>
      <c r="E151" s="19">
        <v>916</v>
      </c>
      <c r="F151" s="19">
        <v>935</v>
      </c>
      <c r="G151" s="19">
        <v>692</v>
      </c>
      <c r="H151" s="19">
        <v>1086</v>
      </c>
      <c r="I151" s="19">
        <v>638</v>
      </c>
      <c r="J151" s="19">
        <v>104</v>
      </c>
      <c r="K151" s="25">
        <f>SUM(C151:J151)</f>
        <v>8320</v>
      </c>
    </row>
    <row r="152" spans="2:11">
      <c r="B152" s="271" t="s">
        <v>298</v>
      </c>
      <c r="C152" s="19">
        <v>865</v>
      </c>
      <c r="D152" s="19">
        <v>562</v>
      </c>
      <c r="E152" s="19">
        <v>390</v>
      </c>
      <c r="F152" s="19">
        <v>605</v>
      </c>
      <c r="G152" s="19">
        <v>535</v>
      </c>
      <c r="H152" s="19">
        <v>22</v>
      </c>
      <c r="I152" s="19">
        <v>272</v>
      </c>
      <c r="J152" s="19">
        <v>29</v>
      </c>
      <c r="K152" s="25">
        <f>SUM(C152:J152)</f>
        <v>3280</v>
      </c>
    </row>
    <row r="153" spans="2:11">
      <c r="B153" s="271" t="s">
        <v>443</v>
      </c>
      <c r="C153" s="19">
        <v>212</v>
      </c>
      <c r="D153" s="19">
        <v>8</v>
      </c>
      <c r="E153" s="19">
        <v>31</v>
      </c>
      <c r="F153" s="19">
        <v>5</v>
      </c>
      <c r="G153" s="19">
        <v>7</v>
      </c>
      <c r="H153" s="19">
        <v>40</v>
      </c>
      <c r="I153" s="19">
        <v>2</v>
      </c>
      <c r="J153" s="19">
        <v>87</v>
      </c>
      <c r="K153" s="25">
        <f>SUM(C153:J153)</f>
        <v>392</v>
      </c>
    </row>
    <row r="154" spans="2:11">
      <c r="B154" s="271" t="s">
        <v>444</v>
      </c>
      <c r="C154" s="19">
        <v>686</v>
      </c>
      <c r="D154" s="19">
        <v>108</v>
      </c>
      <c r="E154" s="19">
        <v>366</v>
      </c>
      <c r="F154" s="19">
        <v>147</v>
      </c>
      <c r="G154" s="19">
        <v>41</v>
      </c>
      <c r="H154" s="19">
        <v>7</v>
      </c>
      <c r="I154" s="19">
        <v>15</v>
      </c>
      <c r="J154" s="19">
        <v>199</v>
      </c>
      <c r="K154" s="25">
        <f>SUM(C154:J154)</f>
        <v>1569</v>
      </c>
    </row>
    <row r="155" spans="2:11">
      <c r="B155" s="272" t="s">
        <v>301</v>
      </c>
      <c r="C155" s="284">
        <f t="shared" ref="C155:K155" si="22">SUM(C151:C154)</f>
        <v>4399</v>
      </c>
      <c r="D155" s="284">
        <f t="shared" si="22"/>
        <v>1991</v>
      </c>
      <c r="E155" s="284">
        <f t="shared" si="22"/>
        <v>1703</v>
      </c>
      <c r="F155" s="284">
        <f t="shared" si="22"/>
        <v>1692</v>
      </c>
      <c r="G155" s="284">
        <f t="shared" si="22"/>
        <v>1275</v>
      </c>
      <c r="H155" s="284">
        <f t="shared" si="22"/>
        <v>1155</v>
      </c>
      <c r="I155" s="284">
        <f t="shared" si="22"/>
        <v>927</v>
      </c>
      <c r="J155" s="284">
        <f t="shared" si="22"/>
        <v>419</v>
      </c>
      <c r="K155" s="367">
        <f t="shared" si="22"/>
        <v>13561</v>
      </c>
    </row>
    <row r="156" spans="2:11">
      <c r="B156" s="226"/>
      <c r="C156" s="26"/>
      <c r="D156" s="26"/>
      <c r="E156" s="26"/>
      <c r="F156" s="26"/>
      <c r="G156" s="26"/>
      <c r="H156" s="26"/>
      <c r="I156" s="26"/>
      <c r="J156" s="26"/>
      <c r="K156" s="25"/>
    </row>
    <row r="157" spans="2:11">
      <c r="B157" s="269" t="s">
        <v>445</v>
      </c>
      <c r="C157" s="19"/>
      <c r="D157" s="19"/>
      <c r="E157" s="19"/>
      <c r="F157" s="19"/>
      <c r="G157" s="19"/>
      <c r="H157" s="19"/>
      <c r="I157" s="19"/>
      <c r="J157" s="19"/>
      <c r="K157" s="25"/>
    </row>
    <row r="158" spans="2:11">
      <c r="B158" s="274" t="s">
        <v>344</v>
      </c>
      <c r="C158" s="19">
        <v>2100</v>
      </c>
      <c r="D158" s="19">
        <v>1040</v>
      </c>
      <c r="E158" s="19">
        <v>874</v>
      </c>
      <c r="F158" s="19">
        <v>821</v>
      </c>
      <c r="G158" s="19">
        <v>617</v>
      </c>
      <c r="H158" s="19">
        <v>562</v>
      </c>
      <c r="I158" s="19">
        <v>408</v>
      </c>
      <c r="J158" s="19">
        <v>155</v>
      </c>
      <c r="K158" s="25">
        <f>SUM(C158:J158)</f>
        <v>6577</v>
      </c>
    </row>
    <row r="159" spans="2:11">
      <c r="B159" s="274" t="s">
        <v>345</v>
      </c>
      <c r="C159" s="19">
        <v>2299</v>
      </c>
      <c r="D159" s="19">
        <v>951</v>
      </c>
      <c r="E159" s="19">
        <v>829</v>
      </c>
      <c r="F159" s="19">
        <v>871</v>
      </c>
      <c r="G159" s="19">
        <v>658</v>
      </c>
      <c r="H159" s="19">
        <v>593</v>
      </c>
      <c r="I159" s="19">
        <v>519</v>
      </c>
      <c r="J159" s="19">
        <v>264</v>
      </c>
      <c r="K159" s="25">
        <f>SUM(C159:J159)</f>
        <v>6984</v>
      </c>
    </row>
    <row r="160" spans="2:11">
      <c r="B160" s="270" t="s">
        <v>301</v>
      </c>
      <c r="C160" s="284">
        <f t="shared" ref="C160:J160" si="23">SUM(C158:C159)</f>
        <v>4399</v>
      </c>
      <c r="D160" s="284">
        <f t="shared" si="23"/>
        <v>1991</v>
      </c>
      <c r="E160" s="284">
        <f t="shared" si="23"/>
        <v>1703</v>
      </c>
      <c r="F160" s="284">
        <f t="shared" si="23"/>
        <v>1692</v>
      </c>
      <c r="G160" s="284">
        <f t="shared" si="23"/>
        <v>1275</v>
      </c>
      <c r="H160" s="284">
        <f t="shared" si="23"/>
        <v>1155</v>
      </c>
      <c r="I160" s="284">
        <f t="shared" si="23"/>
        <v>927</v>
      </c>
      <c r="J160" s="284">
        <f t="shared" si="23"/>
        <v>419</v>
      </c>
      <c r="K160" s="367">
        <f>SUM(C160:J160)</f>
        <v>13561</v>
      </c>
    </row>
    <row r="161" spans="2:11">
      <c r="B161" s="264"/>
    </row>
    <row r="162" spans="2:11">
      <c r="B162" s="264"/>
    </row>
    <row r="163" spans="2:11">
      <c r="B163" s="265" t="s">
        <v>457</v>
      </c>
      <c r="K163" s="366" t="s">
        <v>439</v>
      </c>
    </row>
    <row r="164" spans="2:11" ht="36">
      <c r="B164" s="267" t="s">
        <v>262</v>
      </c>
      <c r="C164" s="266" t="s">
        <v>398</v>
      </c>
      <c r="D164" s="266" t="s">
        <v>399</v>
      </c>
      <c r="E164" s="266" t="s">
        <v>440</v>
      </c>
      <c r="F164" s="266" t="s">
        <v>441</v>
      </c>
      <c r="G164" s="266" t="s">
        <v>402</v>
      </c>
      <c r="H164" s="266" t="s">
        <v>403</v>
      </c>
      <c r="I164" s="266" t="s">
        <v>404</v>
      </c>
      <c r="J164" s="266" t="s">
        <v>405</v>
      </c>
      <c r="K164" s="268" t="s">
        <v>301</v>
      </c>
    </row>
    <row r="165" spans="2:11">
      <c r="B165" s="269" t="s">
        <v>442</v>
      </c>
      <c r="K165" s="21"/>
    </row>
    <row r="166" spans="2:11">
      <c r="B166" s="271" t="s">
        <v>297</v>
      </c>
      <c r="C166" s="19">
        <v>739</v>
      </c>
      <c r="D166" s="19">
        <v>359</v>
      </c>
      <c r="E166" s="19">
        <v>224</v>
      </c>
      <c r="F166" s="19">
        <v>235</v>
      </c>
      <c r="G166" s="19">
        <v>188</v>
      </c>
      <c r="H166" s="19">
        <v>272</v>
      </c>
      <c r="I166" s="19">
        <v>174</v>
      </c>
      <c r="J166" s="19">
        <v>34</v>
      </c>
      <c r="K166" s="25">
        <f>SUM(C166:J166)</f>
        <v>2225</v>
      </c>
    </row>
    <row r="167" spans="2:11">
      <c r="B167" s="271" t="s">
        <v>298</v>
      </c>
      <c r="C167" s="19">
        <v>224</v>
      </c>
      <c r="D167" s="19">
        <v>145</v>
      </c>
      <c r="E167" s="19">
        <v>109</v>
      </c>
      <c r="F167" s="19">
        <v>169</v>
      </c>
      <c r="G167" s="19">
        <v>150</v>
      </c>
      <c r="H167" s="19">
        <v>8</v>
      </c>
      <c r="I167" s="19">
        <v>69</v>
      </c>
      <c r="J167" s="19">
        <v>7</v>
      </c>
      <c r="K167" s="25">
        <f>SUM(C167:J167)</f>
        <v>881</v>
      </c>
    </row>
    <row r="168" spans="2:11">
      <c r="B168" s="271" t="s">
        <v>443</v>
      </c>
      <c r="C168" s="19">
        <v>58</v>
      </c>
      <c r="D168" s="19">
        <v>3</v>
      </c>
      <c r="E168" s="19">
        <v>7</v>
      </c>
      <c r="F168" s="19">
        <v>3</v>
      </c>
      <c r="G168" s="19">
        <v>2</v>
      </c>
      <c r="H168" s="19">
        <v>11</v>
      </c>
      <c r="I168" s="19">
        <v>0</v>
      </c>
      <c r="J168" s="19">
        <v>25</v>
      </c>
      <c r="K168" s="25">
        <f>SUM(C168:J168)</f>
        <v>109</v>
      </c>
    </row>
    <row r="169" spans="2:11">
      <c r="B169" s="271" t="s">
        <v>444</v>
      </c>
      <c r="C169" s="19">
        <v>171</v>
      </c>
      <c r="D169" s="19">
        <v>28</v>
      </c>
      <c r="E169" s="19">
        <v>93</v>
      </c>
      <c r="F169" s="19">
        <v>37</v>
      </c>
      <c r="G169" s="19">
        <v>8</v>
      </c>
      <c r="H169" s="19">
        <v>1</v>
      </c>
      <c r="I169" s="19">
        <v>4</v>
      </c>
      <c r="J169" s="19">
        <v>56</v>
      </c>
      <c r="K169" s="25">
        <f>SUM(C169:J169)</f>
        <v>398</v>
      </c>
    </row>
    <row r="170" spans="2:11">
      <c r="B170" s="272" t="s">
        <v>301</v>
      </c>
      <c r="C170" s="284">
        <f t="shared" ref="C170:K170" si="24">SUM(C166:C169)</f>
        <v>1192</v>
      </c>
      <c r="D170" s="284">
        <f t="shared" si="24"/>
        <v>535</v>
      </c>
      <c r="E170" s="284">
        <f t="shared" si="24"/>
        <v>433</v>
      </c>
      <c r="F170" s="284">
        <f t="shared" si="24"/>
        <v>444</v>
      </c>
      <c r="G170" s="284">
        <f t="shared" si="24"/>
        <v>348</v>
      </c>
      <c r="H170" s="284">
        <f t="shared" si="24"/>
        <v>292</v>
      </c>
      <c r="I170" s="284">
        <f t="shared" si="24"/>
        <v>247</v>
      </c>
      <c r="J170" s="284">
        <f t="shared" si="24"/>
        <v>122</v>
      </c>
      <c r="K170" s="367">
        <f t="shared" si="24"/>
        <v>3613</v>
      </c>
    </row>
    <row r="171" spans="2:11">
      <c r="B171" s="226"/>
      <c r="C171" s="26"/>
      <c r="D171" s="26"/>
      <c r="E171" s="26"/>
      <c r="F171" s="26"/>
      <c r="G171" s="26"/>
      <c r="H171" s="26"/>
      <c r="I171" s="26"/>
      <c r="J171" s="26"/>
      <c r="K171" s="25"/>
    </row>
    <row r="172" spans="2:11">
      <c r="B172" s="269" t="s">
        <v>445</v>
      </c>
      <c r="C172" s="19"/>
      <c r="D172" s="19"/>
      <c r="E172" s="19"/>
      <c r="F172" s="19"/>
      <c r="G172" s="19"/>
      <c r="H172" s="19"/>
      <c r="I172" s="19"/>
      <c r="J172" s="19"/>
      <c r="K172" s="25"/>
    </row>
    <row r="173" spans="2:11">
      <c r="B173" s="274" t="s">
        <v>344</v>
      </c>
      <c r="C173" s="19">
        <v>587</v>
      </c>
      <c r="D173" s="19">
        <v>293</v>
      </c>
      <c r="E173" s="19">
        <v>244</v>
      </c>
      <c r="F173" s="19">
        <v>229</v>
      </c>
      <c r="G173" s="19">
        <v>182</v>
      </c>
      <c r="H173" s="19">
        <v>151</v>
      </c>
      <c r="I173" s="19">
        <v>126</v>
      </c>
      <c r="J173" s="19">
        <v>47</v>
      </c>
      <c r="K173" s="25">
        <f>SUM(C173:J173)</f>
        <v>1859</v>
      </c>
    </row>
    <row r="174" spans="2:11">
      <c r="B174" s="274" t="s">
        <v>345</v>
      </c>
      <c r="C174" s="19">
        <v>605</v>
      </c>
      <c r="D174" s="19">
        <v>242</v>
      </c>
      <c r="E174" s="19">
        <v>189</v>
      </c>
      <c r="F174" s="19">
        <v>215</v>
      </c>
      <c r="G174" s="19">
        <v>166</v>
      </c>
      <c r="H174" s="19">
        <v>141</v>
      </c>
      <c r="I174" s="19">
        <v>121</v>
      </c>
      <c r="J174" s="19">
        <v>75</v>
      </c>
      <c r="K174" s="25">
        <f>SUM(C174:J174)</f>
        <v>1754</v>
      </c>
    </row>
    <row r="175" spans="2:11">
      <c r="B175" s="270" t="s">
        <v>301</v>
      </c>
      <c r="C175" s="284">
        <f>SUM(C173:C174)</f>
        <v>1192</v>
      </c>
      <c r="D175" s="284">
        <f t="shared" ref="D175:J175" si="25">SUM(D173:D174)</f>
        <v>535</v>
      </c>
      <c r="E175" s="284">
        <f t="shared" si="25"/>
        <v>433</v>
      </c>
      <c r="F175" s="284">
        <f t="shared" si="25"/>
        <v>444</v>
      </c>
      <c r="G175" s="284">
        <f t="shared" si="25"/>
        <v>348</v>
      </c>
      <c r="H175" s="284">
        <f t="shared" si="25"/>
        <v>292</v>
      </c>
      <c r="I175" s="284">
        <f t="shared" si="25"/>
        <v>247</v>
      </c>
      <c r="J175" s="284">
        <f t="shared" si="25"/>
        <v>122</v>
      </c>
      <c r="K175" s="367">
        <f>SUM(C175:J175)</f>
        <v>3613</v>
      </c>
    </row>
    <row r="176" spans="2:11">
      <c r="B176" s="264"/>
    </row>
    <row r="177" spans="2:11">
      <c r="B177" s="264"/>
    </row>
    <row r="178" spans="2:11">
      <c r="B178" s="265" t="s">
        <v>458</v>
      </c>
      <c r="K178" s="366" t="s">
        <v>439</v>
      </c>
    </row>
    <row r="179" spans="2:11" ht="36">
      <c r="B179" s="267" t="s">
        <v>262</v>
      </c>
      <c r="C179" s="266" t="s">
        <v>398</v>
      </c>
      <c r="D179" s="266" t="s">
        <v>399</v>
      </c>
      <c r="E179" s="266" t="s">
        <v>440</v>
      </c>
      <c r="F179" s="266" t="s">
        <v>441</v>
      </c>
      <c r="G179" s="266" t="s">
        <v>402</v>
      </c>
      <c r="H179" s="266" t="s">
        <v>403</v>
      </c>
      <c r="I179" s="266" t="s">
        <v>404</v>
      </c>
      <c r="J179" s="266" t="s">
        <v>405</v>
      </c>
      <c r="K179" s="268" t="s">
        <v>301</v>
      </c>
    </row>
    <row r="180" spans="2:11">
      <c r="B180" s="269" t="s">
        <v>442</v>
      </c>
      <c r="K180" s="21"/>
    </row>
    <row r="181" spans="2:11">
      <c r="B181" s="271" t="s">
        <v>297</v>
      </c>
      <c r="C181" s="19">
        <v>707</v>
      </c>
      <c r="D181" s="19">
        <v>343</v>
      </c>
      <c r="E181" s="19">
        <v>234</v>
      </c>
      <c r="F181" s="19">
        <v>244</v>
      </c>
      <c r="G181" s="19">
        <v>173</v>
      </c>
      <c r="H181" s="19">
        <v>271</v>
      </c>
      <c r="I181" s="19">
        <v>173</v>
      </c>
      <c r="J181" s="19">
        <v>21</v>
      </c>
      <c r="K181" s="25">
        <v>2166</v>
      </c>
    </row>
    <row r="182" spans="2:11">
      <c r="B182" s="271" t="s">
        <v>298</v>
      </c>
      <c r="C182" s="19">
        <v>220</v>
      </c>
      <c r="D182" s="19">
        <v>143</v>
      </c>
      <c r="E182" s="19">
        <v>104</v>
      </c>
      <c r="F182" s="19">
        <v>159</v>
      </c>
      <c r="G182" s="19">
        <v>134</v>
      </c>
      <c r="H182" s="19">
        <v>6</v>
      </c>
      <c r="I182" s="19">
        <v>71</v>
      </c>
      <c r="J182" s="19">
        <v>7</v>
      </c>
      <c r="K182" s="25">
        <v>844</v>
      </c>
    </row>
    <row r="183" spans="2:11">
      <c r="B183" s="271" t="s">
        <v>443</v>
      </c>
      <c r="C183" s="19">
        <v>52</v>
      </c>
      <c r="D183" s="19">
        <v>2</v>
      </c>
      <c r="E183" s="19">
        <v>6</v>
      </c>
      <c r="F183" s="19">
        <v>1</v>
      </c>
      <c r="G183" s="19">
        <v>2</v>
      </c>
      <c r="H183" s="19">
        <v>10</v>
      </c>
      <c r="I183" s="19">
        <v>0</v>
      </c>
      <c r="J183" s="19">
        <v>19</v>
      </c>
      <c r="K183" s="25">
        <v>92</v>
      </c>
    </row>
    <row r="184" spans="2:11">
      <c r="B184" s="271" t="s">
        <v>444</v>
      </c>
      <c r="C184" s="19">
        <v>184</v>
      </c>
      <c r="D184" s="19">
        <v>27</v>
      </c>
      <c r="E184" s="19">
        <v>92</v>
      </c>
      <c r="F184" s="19">
        <v>37</v>
      </c>
      <c r="G184" s="19">
        <v>19</v>
      </c>
      <c r="H184" s="19">
        <v>2</v>
      </c>
      <c r="I184" s="19">
        <v>4</v>
      </c>
      <c r="J184" s="19">
        <v>49</v>
      </c>
      <c r="K184" s="25">
        <v>414</v>
      </c>
    </row>
    <row r="185" spans="2:11">
      <c r="B185" s="272" t="s">
        <v>301</v>
      </c>
      <c r="C185" s="284">
        <v>1163</v>
      </c>
      <c r="D185" s="284">
        <v>515</v>
      </c>
      <c r="E185" s="284">
        <v>436</v>
      </c>
      <c r="F185" s="284">
        <v>441</v>
      </c>
      <c r="G185" s="284">
        <v>328</v>
      </c>
      <c r="H185" s="284">
        <v>289</v>
      </c>
      <c r="I185" s="284">
        <v>248</v>
      </c>
      <c r="J185" s="284">
        <v>96</v>
      </c>
      <c r="K185" s="367">
        <v>3516</v>
      </c>
    </row>
    <row r="186" spans="2:11">
      <c r="B186" s="226"/>
      <c r="C186" s="26"/>
      <c r="D186" s="26"/>
      <c r="E186" s="26"/>
      <c r="F186" s="26"/>
      <c r="G186" s="26"/>
      <c r="H186" s="26"/>
      <c r="I186" s="26"/>
      <c r="J186" s="26"/>
      <c r="K186" s="25"/>
    </row>
    <row r="187" spans="2:11">
      <c r="B187" s="269" t="s">
        <v>445</v>
      </c>
      <c r="C187" s="19"/>
      <c r="D187" s="19"/>
      <c r="E187" s="19"/>
      <c r="F187" s="19"/>
      <c r="G187" s="19"/>
      <c r="H187" s="19"/>
      <c r="I187" s="19"/>
      <c r="J187" s="19"/>
      <c r="K187" s="25"/>
    </row>
    <row r="188" spans="2:11">
      <c r="B188" s="274" t="s">
        <v>344</v>
      </c>
      <c r="C188" s="19">
        <v>560</v>
      </c>
      <c r="D188" s="19">
        <v>278</v>
      </c>
      <c r="E188" s="19">
        <v>230</v>
      </c>
      <c r="F188" s="19">
        <v>224</v>
      </c>
      <c r="G188" s="19">
        <v>165</v>
      </c>
      <c r="H188" s="19">
        <v>147</v>
      </c>
      <c r="I188" s="19">
        <v>115</v>
      </c>
      <c r="J188" s="19">
        <v>42</v>
      </c>
      <c r="K188" s="25">
        <v>1761</v>
      </c>
    </row>
    <row r="189" spans="2:11">
      <c r="B189" s="274" t="s">
        <v>345</v>
      </c>
      <c r="C189" s="19">
        <v>603</v>
      </c>
      <c r="D189" s="19">
        <v>237</v>
      </c>
      <c r="E189" s="19">
        <v>206</v>
      </c>
      <c r="F189" s="19">
        <v>217</v>
      </c>
      <c r="G189" s="19">
        <v>163</v>
      </c>
      <c r="H189" s="19">
        <v>142</v>
      </c>
      <c r="I189" s="19">
        <v>133</v>
      </c>
      <c r="J189" s="19">
        <v>54</v>
      </c>
      <c r="K189" s="25">
        <v>1755</v>
      </c>
    </row>
    <row r="190" spans="2:11">
      <c r="B190" s="270" t="s">
        <v>301</v>
      </c>
      <c r="C190" s="284">
        <v>1163</v>
      </c>
      <c r="D190" s="284">
        <v>515</v>
      </c>
      <c r="E190" s="284">
        <v>436</v>
      </c>
      <c r="F190" s="284">
        <v>441</v>
      </c>
      <c r="G190" s="284">
        <v>328</v>
      </c>
      <c r="H190" s="284">
        <v>289</v>
      </c>
      <c r="I190" s="284">
        <v>248</v>
      </c>
      <c r="J190" s="284">
        <v>96</v>
      </c>
      <c r="K190" s="367">
        <v>3516</v>
      </c>
    </row>
    <row r="191" spans="2:11">
      <c r="B191" s="265"/>
      <c r="K191" s="366"/>
    </row>
    <row r="192" spans="2:11">
      <c r="B192" s="265"/>
      <c r="K192" s="366"/>
    </row>
    <row r="193" spans="2:11">
      <c r="B193" s="265" t="s">
        <v>459</v>
      </c>
      <c r="K193" s="366" t="s">
        <v>439</v>
      </c>
    </row>
    <row r="194" spans="2:11" ht="36">
      <c r="B194" s="267" t="s">
        <v>262</v>
      </c>
      <c r="C194" s="266" t="s">
        <v>460</v>
      </c>
      <c r="D194" s="266" t="s">
        <v>399</v>
      </c>
      <c r="E194" s="266" t="s">
        <v>461</v>
      </c>
      <c r="F194" s="266" t="s">
        <v>462</v>
      </c>
      <c r="G194" s="266" t="s">
        <v>402</v>
      </c>
      <c r="H194" s="266" t="s">
        <v>403</v>
      </c>
      <c r="I194" s="266" t="s">
        <v>404</v>
      </c>
      <c r="J194" s="266" t="s">
        <v>463</v>
      </c>
      <c r="K194" s="268" t="s">
        <v>301</v>
      </c>
    </row>
    <row r="195" spans="2:11">
      <c r="B195" s="269" t="s">
        <v>442</v>
      </c>
      <c r="K195" s="21"/>
    </row>
    <row r="196" spans="2:11">
      <c r="B196" s="271" t="s">
        <v>297</v>
      </c>
      <c r="C196" s="89">
        <v>613</v>
      </c>
      <c r="D196" s="89">
        <v>324</v>
      </c>
      <c r="E196" s="89">
        <v>218</v>
      </c>
      <c r="F196" s="89">
        <v>230</v>
      </c>
      <c r="G196" s="89">
        <v>158</v>
      </c>
      <c r="H196" s="89">
        <v>286</v>
      </c>
      <c r="I196" s="89">
        <v>154</v>
      </c>
      <c r="J196" s="89">
        <v>27</v>
      </c>
      <c r="K196" s="108">
        <v>2010</v>
      </c>
    </row>
    <row r="197" spans="2:11">
      <c r="B197" s="271" t="s">
        <v>298</v>
      </c>
      <c r="C197" s="89">
        <v>219</v>
      </c>
      <c r="D197" s="89">
        <v>139</v>
      </c>
      <c r="E197" s="89">
        <v>94</v>
      </c>
      <c r="F197" s="89">
        <v>141</v>
      </c>
      <c r="G197" s="89">
        <v>135</v>
      </c>
      <c r="H197" s="89">
        <v>6</v>
      </c>
      <c r="I197" s="89">
        <v>66</v>
      </c>
      <c r="J197" s="89">
        <v>7</v>
      </c>
      <c r="K197" s="108">
        <v>807</v>
      </c>
    </row>
    <row r="198" spans="2:11">
      <c r="B198" s="271" t="s">
        <v>443</v>
      </c>
      <c r="C198" s="89">
        <v>53</v>
      </c>
      <c r="D198" s="89">
        <v>2</v>
      </c>
      <c r="E198" s="89">
        <v>10</v>
      </c>
      <c r="F198" s="89">
        <v>1</v>
      </c>
      <c r="G198" s="89">
        <v>2</v>
      </c>
      <c r="H198" s="89">
        <v>9</v>
      </c>
      <c r="I198" s="89">
        <v>1</v>
      </c>
      <c r="J198" s="89">
        <v>22</v>
      </c>
      <c r="K198" s="108">
        <v>100</v>
      </c>
    </row>
    <row r="199" spans="2:11">
      <c r="B199" s="271" t="s">
        <v>444</v>
      </c>
      <c r="C199" s="89">
        <v>176</v>
      </c>
      <c r="D199" s="89">
        <v>27</v>
      </c>
      <c r="E199" s="89">
        <v>95</v>
      </c>
      <c r="F199" s="89">
        <v>36</v>
      </c>
      <c r="G199" s="89">
        <v>7</v>
      </c>
      <c r="H199" s="89">
        <v>2</v>
      </c>
      <c r="I199" s="89">
        <v>4</v>
      </c>
      <c r="J199" s="89">
        <v>48</v>
      </c>
      <c r="K199" s="108">
        <v>395</v>
      </c>
    </row>
    <row r="200" spans="2:11">
      <c r="B200" s="272" t="s">
        <v>301</v>
      </c>
      <c r="C200" s="276">
        <v>1061</v>
      </c>
      <c r="D200" s="276">
        <v>492</v>
      </c>
      <c r="E200" s="276">
        <v>417</v>
      </c>
      <c r="F200" s="276">
        <v>408</v>
      </c>
      <c r="G200" s="276">
        <v>302</v>
      </c>
      <c r="H200" s="276">
        <v>303</v>
      </c>
      <c r="I200" s="276">
        <v>225</v>
      </c>
      <c r="J200" s="276">
        <v>104</v>
      </c>
      <c r="K200" s="277">
        <v>3312</v>
      </c>
    </row>
    <row r="201" spans="2:11">
      <c r="B201" s="226"/>
      <c r="C201" s="101"/>
      <c r="D201" s="101"/>
      <c r="E201" s="101"/>
      <c r="F201" s="101"/>
      <c r="G201" s="101"/>
      <c r="H201" s="101"/>
      <c r="I201" s="101"/>
      <c r="J201" s="101"/>
      <c r="K201" s="108"/>
    </row>
    <row r="202" spans="2:11">
      <c r="B202" s="269" t="s">
        <v>445</v>
      </c>
      <c r="C202" s="89"/>
      <c r="D202" s="89"/>
      <c r="E202" s="89"/>
      <c r="F202" s="89"/>
      <c r="G202" s="89"/>
      <c r="H202" s="89"/>
      <c r="I202" s="89"/>
      <c r="J202" s="89"/>
      <c r="K202" s="108"/>
    </row>
    <row r="203" spans="2:11">
      <c r="B203" s="274" t="s">
        <v>344</v>
      </c>
      <c r="C203" s="89">
        <v>501</v>
      </c>
      <c r="D203" s="89">
        <v>254</v>
      </c>
      <c r="E203" s="89">
        <v>204</v>
      </c>
      <c r="F203" s="89">
        <v>194</v>
      </c>
      <c r="G203" s="89">
        <v>135</v>
      </c>
      <c r="H203" s="89">
        <v>150</v>
      </c>
      <c r="I203" s="89">
        <v>93</v>
      </c>
      <c r="J203" s="89">
        <v>37</v>
      </c>
      <c r="K203" s="108">
        <v>1568</v>
      </c>
    </row>
    <row r="204" spans="2:11">
      <c r="B204" s="274" t="s">
        <v>345</v>
      </c>
      <c r="C204" s="89">
        <v>560</v>
      </c>
      <c r="D204" s="89">
        <v>238</v>
      </c>
      <c r="E204" s="89">
        <v>213</v>
      </c>
      <c r="F204" s="89">
        <v>214</v>
      </c>
      <c r="G204" s="89">
        <v>167</v>
      </c>
      <c r="H204" s="89">
        <v>153</v>
      </c>
      <c r="I204" s="89">
        <v>132</v>
      </c>
      <c r="J204" s="89">
        <v>67</v>
      </c>
      <c r="K204" s="108">
        <v>1744</v>
      </c>
    </row>
    <row r="205" spans="2:11">
      <c r="B205" s="270" t="s">
        <v>301</v>
      </c>
      <c r="C205" s="276">
        <v>1061</v>
      </c>
      <c r="D205" s="276">
        <v>492</v>
      </c>
      <c r="E205" s="276">
        <v>417</v>
      </c>
      <c r="F205" s="276">
        <v>408</v>
      </c>
      <c r="G205" s="276">
        <v>302</v>
      </c>
      <c r="H205" s="276">
        <v>303</v>
      </c>
      <c r="I205" s="276">
        <v>225</v>
      </c>
      <c r="J205" s="276">
        <v>104</v>
      </c>
      <c r="K205" s="277">
        <v>3312</v>
      </c>
    </row>
    <row r="206" spans="2:11">
      <c r="B206" s="264"/>
    </row>
    <row r="207" spans="2:11">
      <c r="B207" s="264"/>
    </row>
    <row r="208" spans="2:11">
      <c r="B208" s="265" t="s">
        <v>464</v>
      </c>
      <c r="K208" s="366" t="s">
        <v>439</v>
      </c>
    </row>
    <row r="209" spans="2:11" ht="36">
      <c r="B209" s="267" t="s">
        <v>262</v>
      </c>
      <c r="C209" s="266" t="s">
        <v>460</v>
      </c>
      <c r="D209" s="266" t="s">
        <v>399</v>
      </c>
      <c r="E209" s="266" t="s">
        <v>461</v>
      </c>
      <c r="F209" s="266" t="s">
        <v>462</v>
      </c>
      <c r="G209" s="266" t="s">
        <v>402</v>
      </c>
      <c r="H209" s="266" t="s">
        <v>403</v>
      </c>
      <c r="I209" s="266" t="s">
        <v>404</v>
      </c>
      <c r="J209" s="266" t="s">
        <v>463</v>
      </c>
      <c r="K209" s="268" t="s">
        <v>301</v>
      </c>
    </row>
    <row r="210" spans="2:11">
      <c r="B210" s="269" t="s">
        <v>442</v>
      </c>
      <c r="K210" s="21"/>
    </row>
    <row r="211" spans="2:11">
      <c r="B211" s="271" t="s">
        <v>297</v>
      </c>
      <c r="C211" s="89">
        <v>577</v>
      </c>
      <c r="D211" s="89">
        <v>287</v>
      </c>
      <c r="E211" s="89">
        <v>239</v>
      </c>
      <c r="F211" s="89">
        <v>226</v>
      </c>
      <c r="G211" s="89">
        <v>171</v>
      </c>
      <c r="H211" s="89">
        <v>257</v>
      </c>
      <c r="I211" s="89">
        <v>138</v>
      </c>
      <c r="J211" s="89">
        <v>23</v>
      </c>
      <c r="K211" s="108">
        <v>1918</v>
      </c>
    </row>
    <row r="212" spans="2:11">
      <c r="B212" s="271" t="s">
        <v>298</v>
      </c>
      <c r="C212" s="89">
        <v>202</v>
      </c>
      <c r="D212" s="89">
        <v>134</v>
      </c>
      <c r="E212" s="89">
        <v>83</v>
      </c>
      <c r="F212" s="89">
        <v>137</v>
      </c>
      <c r="G212" s="89">
        <v>117</v>
      </c>
      <c r="H212" s="89">
        <v>4</v>
      </c>
      <c r="I212" s="89">
        <v>66</v>
      </c>
      <c r="J212" s="89">
        <v>7</v>
      </c>
      <c r="K212" s="108">
        <v>750</v>
      </c>
    </row>
    <row r="213" spans="2:11">
      <c r="B213" s="271" t="s">
        <v>300</v>
      </c>
      <c r="C213" s="89">
        <v>49</v>
      </c>
      <c r="D213" s="89">
        <v>1</v>
      </c>
      <c r="E213" s="89">
        <v>8</v>
      </c>
      <c r="F213" s="89">
        <v>0</v>
      </c>
      <c r="G213" s="89">
        <v>2</v>
      </c>
      <c r="H213" s="89">
        <v>9</v>
      </c>
      <c r="I213" s="89">
        <v>1</v>
      </c>
      <c r="J213" s="89">
        <v>20</v>
      </c>
      <c r="K213" s="108">
        <v>90</v>
      </c>
    </row>
    <row r="214" spans="2:11">
      <c r="B214" s="271" t="s">
        <v>299</v>
      </c>
      <c r="C214" s="89">
        <v>156</v>
      </c>
      <c r="D214" s="89">
        <v>25</v>
      </c>
      <c r="E214" s="89">
        <v>87</v>
      </c>
      <c r="F214" s="89">
        <v>36</v>
      </c>
      <c r="G214" s="89">
        <v>8</v>
      </c>
      <c r="H214" s="89">
        <v>2</v>
      </c>
      <c r="I214" s="89">
        <v>3</v>
      </c>
      <c r="J214" s="89">
        <v>46</v>
      </c>
      <c r="K214" s="108">
        <v>363</v>
      </c>
    </row>
    <row r="215" spans="2:11">
      <c r="B215" s="272" t="s">
        <v>301</v>
      </c>
      <c r="C215" s="276">
        <v>984</v>
      </c>
      <c r="D215" s="276">
        <v>447</v>
      </c>
      <c r="E215" s="276">
        <v>417</v>
      </c>
      <c r="F215" s="276">
        <v>399</v>
      </c>
      <c r="G215" s="276">
        <v>298</v>
      </c>
      <c r="H215" s="276">
        <v>272</v>
      </c>
      <c r="I215" s="276">
        <v>208</v>
      </c>
      <c r="J215" s="276">
        <v>96</v>
      </c>
      <c r="K215" s="277">
        <v>3121</v>
      </c>
    </row>
    <row r="216" spans="2:11">
      <c r="B216" s="226"/>
      <c r="C216" s="101"/>
      <c r="D216" s="101"/>
      <c r="E216" s="101"/>
      <c r="F216" s="101"/>
      <c r="G216" s="101"/>
      <c r="H216" s="101"/>
      <c r="I216" s="101"/>
      <c r="J216" s="101"/>
      <c r="K216" s="108"/>
    </row>
    <row r="217" spans="2:11">
      <c r="B217" s="269" t="s">
        <v>445</v>
      </c>
      <c r="C217" s="89"/>
      <c r="D217" s="89"/>
      <c r="E217" s="89"/>
      <c r="F217" s="89"/>
      <c r="G217" s="89"/>
      <c r="H217" s="89"/>
      <c r="I217" s="89"/>
      <c r="J217" s="89"/>
      <c r="K217" s="108"/>
    </row>
    <row r="218" spans="2:11">
      <c r="B218" s="274" t="s">
        <v>347</v>
      </c>
      <c r="C218" s="89">
        <v>452</v>
      </c>
      <c r="D218" s="89">
        <v>213</v>
      </c>
      <c r="E218" s="89">
        <v>197</v>
      </c>
      <c r="F218" s="89">
        <v>174</v>
      </c>
      <c r="G218" s="89">
        <v>136</v>
      </c>
      <c r="H218" s="89">
        <v>114</v>
      </c>
      <c r="I218" s="89">
        <v>75</v>
      </c>
      <c r="J218" s="89">
        <v>28</v>
      </c>
      <c r="K218" s="108">
        <v>1389</v>
      </c>
    </row>
    <row r="219" spans="2:11">
      <c r="B219" s="274" t="s">
        <v>345</v>
      </c>
      <c r="C219" s="89">
        <v>532</v>
      </c>
      <c r="D219" s="89">
        <v>234</v>
      </c>
      <c r="E219" s="89">
        <v>220</v>
      </c>
      <c r="F219" s="89">
        <v>225</v>
      </c>
      <c r="G219" s="89">
        <v>162</v>
      </c>
      <c r="H219" s="89">
        <v>158</v>
      </c>
      <c r="I219" s="89">
        <v>133</v>
      </c>
      <c r="J219" s="89">
        <v>68</v>
      </c>
      <c r="K219" s="108">
        <v>1732</v>
      </c>
    </row>
    <row r="220" spans="2:11">
      <c r="B220" s="270" t="s">
        <v>301</v>
      </c>
      <c r="C220" s="276">
        <v>984</v>
      </c>
      <c r="D220" s="276">
        <v>447</v>
      </c>
      <c r="E220" s="276">
        <v>417</v>
      </c>
      <c r="F220" s="276">
        <v>399</v>
      </c>
      <c r="G220" s="276">
        <v>298</v>
      </c>
      <c r="H220" s="276">
        <v>272</v>
      </c>
      <c r="I220" s="276">
        <v>208</v>
      </c>
      <c r="J220" s="276">
        <v>96</v>
      </c>
      <c r="K220" s="277">
        <v>3121</v>
      </c>
    </row>
    <row r="221" spans="2:11">
      <c r="B221" s="264"/>
    </row>
    <row r="222" spans="2:11">
      <c r="B222" s="264"/>
    </row>
    <row r="223" spans="2:11">
      <c r="B223" s="265" t="s">
        <v>465</v>
      </c>
      <c r="K223" s="366" t="s">
        <v>439</v>
      </c>
    </row>
    <row r="224" spans="2:11" ht="36">
      <c r="B224" s="267" t="s">
        <v>262</v>
      </c>
      <c r="C224" s="266" t="s">
        <v>460</v>
      </c>
      <c r="D224" s="266" t="s">
        <v>399</v>
      </c>
      <c r="E224" s="266" t="s">
        <v>461</v>
      </c>
      <c r="F224" s="266" t="s">
        <v>462</v>
      </c>
      <c r="G224" s="266" t="s">
        <v>402</v>
      </c>
      <c r="H224" s="266" t="s">
        <v>403</v>
      </c>
      <c r="I224" s="266" t="s">
        <v>404</v>
      </c>
      <c r="J224" s="266" t="s">
        <v>463</v>
      </c>
      <c r="K224" s="268" t="s">
        <v>301</v>
      </c>
    </row>
    <row r="225" spans="2:12">
      <c r="B225" s="269" t="s">
        <v>442</v>
      </c>
      <c r="K225" s="21"/>
    </row>
    <row r="226" spans="2:12">
      <c r="B226" s="271" t="s">
        <v>297</v>
      </c>
      <c r="C226" s="89">
        <v>2358</v>
      </c>
      <c r="D226" s="89">
        <v>1298</v>
      </c>
      <c r="E226" s="89">
        <v>1033</v>
      </c>
      <c r="F226" s="89">
        <v>908</v>
      </c>
      <c r="G226" s="89">
        <v>722</v>
      </c>
      <c r="H226" s="89">
        <v>920</v>
      </c>
      <c r="I226" s="89">
        <v>537</v>
      </c>
      <c r="J226" s="89">
        <v>79</v>
      </c>
      <c r="K226" s="108">
        <f>SUM(C226:J226)</f>
        <v>7855</v>
      </c>
      <c r="L226" s="358"/>
    </row>
    <row r="227" spans="2:12">
      <c r="B227" s="271" t="s">
        <v>298</v>
      </c>
      <c r="C227" s="89">
        <v>842</v>
      </c>
      <c r="D227" s="89">
        <v>558</v>
      </c>
      <c r="E227" s="89">
        <v>271</v>
      </c>
      <c r="F227" s="89">
        <v>592</v>
      </c>
      <c r="G227" s="89">
        <v>503</v>
      </c>
      <c r="H227" s="89">
        <v>27</v>
      </c>
      <c r="I227" s="89">
        <v>267</v>
      </c>
      <c r="J227" s="89">
        <v>25</v>
      </c>
      <c r="K227" s="108">
        <f>SUM(C227:J227)</f>
        <v>3085</v>
      </c>
      <c r="L227" s="358"/>
    </row>
    <row r="228" spans="2:12">
      <c r="B228" s="271" t="s">
        <v>300</v>
      </c>
      <c r="C228" s="89">
        <v>184</v>
      </c>
      <c r="D228" s="89">
        <v>7</v>
      </c>
      <c r="E228" s="89">
        <v>27</v>
      </c>
      <c r="F228" s="89">
        <v>2</v>
      </c>
      <c r="G228" s="89">
        <v>12</v>
      </c>
      <c r="H228" s="89">
        <v>29</v>
      </c>
      <c r="I228" s="89">
        <v>6</v>
      </c>
      <c r="J228" s="89">
        <v>66</v>
      </c>
      <c r="K228" s="108">
        <f>SUM(C228:J228)</f>
        <v>333</v>
      </c>
      <c r="L228" s="358"/>
    </row>
    <row r="229" spans="2:12">
      <c r="B229" s="271" t="s">
        <v>299</v>
      </c>
      <c r="C229" s="89">
        <v>645</v>
      </c>
      <c r="D229" s="89">
        <v>113</v>
      </c>
      <c r="E229" s="89">
        <v>356</v>
      </c>
      <c r="F229" s="89">
        <v>150</v>
      </c>
      <c r="G229" s="89">
        <v>48</v>
      </c>
      <c r="H229" s="89">
        <v>5</v>
      </c>
      <c r="I229" s="89">
        <v>12</v>
      </c>
      <c r="J229" s="89">
        <v>178</v>
      </c>
      <c r="K229" s="108">
        <f>SUM(C229:J229)</f>
        <v>1507</v>
      </c>
      <c r="L229" s="358"/>
    </row>
    <row r="230" spans="2:12">
      <c r="B230" s="272" t="s">
        <v>301</v>
      </c>
      <c r="C230" s="276">
        <f>SUM(C226:C229)</f>
        <v>4029</v>
      </c>
      <c r="D230" s="276">
        <f t="shared" ref="D230:J230" si="26">SUM(D226:D229)</f>
        <v>1976</v>
      </c>
      <c r="E230" s="276">
        <f t="shared" si="26"/>
        <v>1687</v>
      </c>
      <c r="F230" s="276">
        <f t="shared" si="26"/>
        <v>1652</v>
      </c>
      <c r="G230" s="276">
        <f t="shared" si="26"/>
        <v>1285</v>
      </c>
      <c r="H230" s="276">
        <f t="shared" si="26"/>
        <v>981</v>
      </c>
      <c r="I230" s="276">
        <f t="shared" si="26"/>
        <v>822</v>
      </c>
      <c r="J230" s="276">
        <f t="shared" si="26"/>
        <v>348</v>
      </c>
      <c r="K230" s="277">
        <f>SUM(K226:K229)</f>
        <v>12780</v>
      </c>
    </row>
    <row r="231" spans="2:12">
      <c r="B231" s="226"/>
      <c r="C231" s="101"/>
      <c r="D231" s="101"/>
      <c r="E231" s="101"/>
      <c r="F231" s="101"/>
      <c r="G231" s="101"/>
      <c r="H231" s="101"/>
      <c r="I231" s="101"/>
      <c r="J231" s="101"/>
      <c r="K231" s="108"/>
    </row>
    <row r="232" spans="2:12">
      <c r="B232" s="269" t="s">
        <v>445</v>
      </c>
      <c r="C232" s="89"/>
      <c r="D232" s="89"/>
      <c r="E232" s="89"/>
      <c r="F232" s="89"/>
      <c r="G232" s="89"/>
      <c r="H232" s="89"/>
      <c r="I232" s="89"/>
      <c r="J232" s="89"/>
      <c r="K232" s="108"/>
    </row>
    <row r="233" spans="2:12">
      <c r="B233" s="274" t="s">
        <v>347</v>
      </c>
      <c r="C233" s="89">
        <v>1626</v>
      </c>
      <c r="D233" s="89">
        <v>867</v>
      </c>
      <c r="E233" s="89">
        <v>681</v>
      </c>
      <c r="F233" s="89">
        <v>631</v>
      </c>
      <c r="G233" s="89">
        <v>489</v>
      </c>
      <c r="H233" s="89">
        <v>357</v>
      </c>
      <c r="I233" s="89">
        <v>260</v>
      </c>
      <c r="J233" s="89">
        <v>97</v>
      </c>
      <c r="K233" s="108">
        <f>SUM(C233:J233)</f>
        <v>5008</v>
      </c>
      <c r="L233" s="101"/>
    </row>
    <row r="234" spans="2:12">
      <c r="B234" s="274" t="s">
        <v>345</v>
      </c>
      <c r="C234" s="89">
        <v>2403</v>
      </c>
      <c r="D234" s="89">
        <v>1109</v>
      </c>
      <c r="E234" s="89">
        <v>1006</v>
      </c>
      <c r="F234" s="89">
        <v>1021</v>
      </c>
      <c r="G234" s="89">
        <v>796</v>
      </c>
      <c r="H234" s="89">
        <v>624</v>
      </c>
      <c r="I234" s="89">
        <v>562</v>
      </c>
      <c r="J234" s="89">
        <v>251</v>
      </c>
      <c r="K234" s="108">
        <f>SUM(C234:J234)</f>
        <v>7772</v>
      </c>
      <c r="L234" s="101"/>
    </row>
    <row r="235" spans="2:12">
      <c r="B235" s="270" t="s">
        <v>301</v>
      </c>
      <c r="C235" s="276">
        <f>SUM(C233:C234)</f>
        <v>4029</v>
      </c>
      <c r="D235" s="276">
        <f t="shared" ref="D235:J235" si="27">SUM(D233:D234)</f>
        <v>1976</v>
      </c>
      <c r="E235" s="276">
        <f t="shared" si="27"/>
        <v>1687</v>
      </c>
      <c r="F235" s="276">
        <f t="shared" si="27"/>
        <v>1652</v>
      </c>
      <c r="G235" s="276">
        <f t="shared" si="27"/>
        <v>1285</v>
      </c>
      <c r="H235" s="276">
        <f t="shared" si="27"/>
        <v>981</v>
      </c>
      <c r="I235" s="276">
        <f t="shared" si="27"/>
        <v>822</v>
      </c>
      <c r="J235" s="276">
        <f t="shared" si="27"/>
        <v>348</v>
      </c>
      <c r="K235" s="277">
        <f>SUM(K233:K234)</f>
        <v>12780</v>
      </c>
    </row>
    <row r="236" spans="2:12">
      <c r="B236" s="39"/>
      <c r="C236" s="93"/>
      <c r="D236" s="93"/>
      <c r="E236" s="93"/>
      <c r="F236" s="93"/>
      <c r="G236" s="93"/>
      <c r="H236" s="93"/>
      <c r="I236" s="93"/>
      <c r="J236" s="93"/>
      <c r="K236" s="93"/>
    </row>
    <row r="237" spans="2:12">
      <c r="B237" s="39"/>
      <c r="C237" s="93"/>
      <c r="D237" s="93"/>
      <c r="E237" s="93"/>
      <c r="F237" s="93"/>
      <c r="G237" s="93"/>
      <c r="H237" s="93"/>
      <c r="I237" s="93"/>
      <c r="J237" s="93"/>
      <c r="K237" s="93"/>
    </row>
    <row r="238" spans="2:12">
      <c r="B238" s="265" t="s">
        <v>466</v>
      </c>
      <c r="C238" s="93"/>
      <c r="D238" s="93"/>
      <c r="E238" s="93"/>
      <c r="F238" s="93"/>
      <c r="G238" s="93"/>
      <c r="H238" s="93"/>
      <c r="I238" s="93"/>
      <c r="J238" s="93"/>
      <c r="K238" s="366" t="s">
        <v>439</v>
      </c>
    </row>
    <row r="239" spans="2:12" ht="36">
      <c r="B239" s="267" t="s">
        <v>262</v>
      </c>
      <c r="C239" s="266" t="s">
        <v>460</v>
      </c>
      <c r="D239" s="266" t="s">
        <v>399</v>
      </c>
      <c r="E239" s="266" t="s">
        <v>461</v>
      </c>
      <c r="F239" s="266" t="s">
        <v>462</v>
      </c>
      <c r="G239" s="266" t="s">
        <v>402</v>
      </c>
      <c r="H239" s="266" t="s">
        <v>403</v>
      </c>
      <c r="I239" s="266" t="s">
        <v>404</v>
      </c>
      <c r="J239" s="266" t="s">
        <v>463</v>
      </c>
      <c r="K239" s="268" t="s">
        <v>301</v>
      </c>
    </row>
    <row r="240" spans="2:12">
      <c r="B240" s="269" t="s">
        <v>442</v>
      </c>
      <c r="K240" s="21"/>
    </row>
    <row r="241" spans="2:12">
      <c r="B241" s="271" t="s">
        <v>297</v>
      </c>
      <c r="C241" s="89">
        <v>588</v>
      </c>
      <c r="D241" s="89">
        <v>334</v>
      </c>
      <c r="E241" s="89">
        <v>247</v>
      </c>
      <c r="F241" s="89">
        <v>222</v>
      </c>
      <c r="G241" s="89">
        <v>182</v>
      </c>
      <c r="H241" s="89">
        <v>233</v>
      </c>
      <c r="I241" s="89">
        <v>140</v>
      </c>
      <c r="J241" s="89">
        <v>23</v>
      </c>
      <c r="K241" s="108">
        <f>SUM(C241:J241)</f>
        <v>1969</v>
      </c>
      <c r="L241" s="358"/>
    </row>
    <row r="242" spans="2:12">
      <c r="B242" s="271" t="s">
        <v>298</v>
      </c>
      <c r="C242" s="89">
        <v>211</v>
      </c>
      <c r="D242" s="89">
        <v>136</v>
      </c>
      <c r="E242" s="89">
        <v>77</v>
      </c>
      <c r="F242" s="89">
        <v>152</v>
      </c>
      <c r="G242" s="89">
        <v>129</v>
      </c>
      <c r="H242" s="89">
        <v>8</v>
      </c>
      <c r="I242" s="89">
        <v>60</v>
      </c>
      <c r="J242" s="89">
        <v>8</v>
      </c>
      <c r="K242" s="108">
        <f>SUM(C242:J242)</f>
        <v>781</v>
      </c>
      <c r="L242" s="358"/>
    </row>
    <row r="243" spans="2:12">
      <c r="B243" s="271" t="s">
        <v>300</v>
      </c>
      <c r="C243" s="89">
        <v>47</v>
      </c>
      <c r="D243" s="89">
        <v>2</v>
      </c>
      <c r="E243" s="89">
        <v>5</v>
      </c>
      <c r="F243" s="89">
        <v>1</v>
      </c>
      <c r="G243" s="89">
        <v>3</v>
      </c>
      <c r="H243" s="89">
        <v>9</v>
      </c>
      <c r="I243" s="89">
        <v>1</v>
      </c>
      <c r="J243" s="89">
        <v>16</v>
      </c>
      <c r="K243" s="108">
        <f>SUM(C243:J243)</f>
        <v>84</v>
      </c>
      <c r="L243" s="358"/>
    </row>
    <row r="244" spans="2:12">
      <c r="B244" s="271" t="s">
        <v>299</v>
      </c>
      <c r="C244" s="89">
        <v>154</v>
      </c>
      <c r="D244" s="89">
        <v>26</v>
      </c>
      <c r="E244" s="89">
        <v>85</v>
      </c>
      <c r="F244" s="89">
        <v>36</v>
      </c>
      <c r="G244" s="89">
        <v>11</v>
      </c>
      <c r="H244" s="89">
        <v>2</v>
      </c>
      <c r="I244" s="89">
        <v>3</v>
      </c>
      <c r="J244" s="89">
        <v>46</v>
      </c>
      <c r="K244" s="108">
        <f>SUM(C244:J244)</f>
        <v>363</v>
      </c>
      <c r="L244" s="358"/>
    </row>
    <row r="245" spans="2:12">
      <c r="B245" s="272" t="s">
        <v>301</v>
      </c>
      <c r="C245" s="276">
        <f>SUM(C241:C244)</f>
        <v>1000</v>
      </c>
      <c r="D245" s="276">
        <f t="shared" ref="D245:K245" si="28">SUM(D241:D244)</f>
        <v>498</v>
      </c>
      <c r="E245" s="276">
        <f t="shared" si="28"/>
        <v>414</v>
      </c>
      <c r="F245" s="276">
        <f t="shared" si="28"/>
        <v>411</v>
      </c>
      <c r="G245" s="276">
        <f t="shared" si="28"/>
        <v>325</v>
      </c>
      <c r="H245" s="276">
        <f t="shared" si="28"/>
        <v>252</v>
      </c>
      <c r="I245" s="276">
        <f t="shared" si="28"/>
        <v>204</v>
      </c>
      <c r="J245" s="276">
        <f t="shared" si="28"/>
        <v>93</v>
      </c>
      <c r="K245" s="277">
        <f t="shared" si="28"/>
        <v>3197</v>
      </c>
    </row>
    <row r="246" spans="2:12">
      <c r="B246" s="226"/>
      <c r="C246" s="101"/>
      <c r="D246" s="101"/>
      <c r="E246" s="101"/>
      <c r="F246" s="101"/>
      <c r="G246" s="101"/>
      <c r="H246" s="101"/>
      <c r="I246" s="101"/>
      <c r="J246" s="101"/>
      <c r="K246" s="108"/>
    </row>
    <row r="247" spans="2:12">
      <c r="B247" s="269" t="s">
        <v>445</v>
      </c>
      <c r="C247" s="89"/>
      <c r="D247" s="89"/>
      <c r="E247" s="89"/>
      <c r="F247" s="89"/>
      <c r="G247" s="89"/>
      <c r="H247" s="89"/>
      <c r="I247" s="89"/>
      <c r="J247" s="89"/>
      <c r="K247" s="108"/>
    </row>
    <row r="248" spans="2:12">
      <c r="B248" s="274" t="s">
        <v>347</v>
      </c>
      <c r="C248" s="89">
        <v>434</v>
      </c>
      <c r="D248" s="89">
        <v>231</v>
      </c>
      <c r="E248" s="89">
        <v>180</v>
      </c>
      <c r="F248" s="89">
        <v>172</v>
      </c>
      <c r="G248" s="89">
        <v>130</v>
      </c>
      <c r="H248" s="89">
        <v>94</v>
      </c>
      <c r="I248" s="89">
        <v>70</v>
      </c>
      <c r="J248" s="89">
        <v>30</v>
      </c>
      <c r="K248" s="108">
        <f>SUM(C248:J248)</f>
        <v>1341</v>
      </c>
      <c r="L248" s="101"/>
    </row>
    <row r="249" spans="2:12">
      <c r="B249" s="274" t="s">
        <v>345</v>
      </c>
      <c r="C249" s="89">
        <v>566</v>
      </c>
      <c r="D249" s="89">
        <v>267</v>
      </c>
      <c r="E249" s="89">
        <v>234</v>
      </c>
      <c r="F249" s="89">
        <v>239</v>
      </c>
      <c r="G249" s="89">
        <v>195</v>
      </c>
      <c r="H249" s="89">
        <v>158</v>
      </c>
      <c r="I249" s="89">
        <v>134</v>
      </c>
      <c r="J249" s="89">
        <v>63</v>
      </c>
      <c r="K249" s="108">
        <f>SUM(C249:J249)</f>
        <v>1856</v>
      </c>
      <c r="L249" s="101"/>
    </row>
    <row r="250" spans="2:12">
      <c r="B250" s="270" t="s">
        <v>301</v>
      </c>
      <c r="C250" s="276">
        <f>SUM(C248:C249)</f>
        <v>1000</v>
      </c>
      <c r="D250" s="276">
        <f t="shared" ref="D250:K250" si="29">SUM(D248:D249)</f>
        <v>498</v>
      </c>
      <c r="E250" s="276">
        <f t="shared" si="29"/>
        <v>414</v>
      </c>
      <c r="F250" s="276">
        <f t="shared" si="29"/>
        <v>411</v>
      </c>
      <c r="G250" s="276">
        <f t="shared" si="29"/>
        <v>325</v>
      </c>
      <c r="H250" s="276">
        <f t="shared" si="29"/>
        <v>252</v>
      </c>
      <c r="I250" s="276">
        <f t="shared" si="29"/>
        <v>204</v>
      </c>
      <c r="J250" s="276">
        <f t="shared" si="29"/>
        <v>93</v>
      </c>
      <c r="K250" s="277">
        <f t="shared" si="29"/>
        <v>3197</v>
      </c>
    </row>
    <row r="251" spans="2:12">
      <c r="B251" s="39"/>
      <c r="C251" s="93"/>
      <c r="D251" s="93"/>
      <c r="E251" s="93"/>
      <c r="F251" s="93"/>
      <c r="G251" s="93"/>
      <c r="H251" s="93"/>
      <c r="I251" s="93"/>
      <c r="J251" s="93"/>
      <c r="K251" s="93"/>
    </row>
    <row r="252" spans="2:12">
      <c r="B252" s="264"/>
      <c r="C252" s="358"/>
      <c r="D252" s="358"/>
      <c r="E252" s="358"/>
      <c r="F252" s="358"/>
      <c r="G252" s="358"/>
      <c r="H252" s="358"/>
      <c r="I252" s="358"/>
      <c r="J252" s="358"/>
    </row>
    <row r="253" spans="2:12">
      <c r="B253" s="265" t="s">
        <v>467</v>
      </c>
      <c r="K253" s="366" t="s">
        <v>439</v>
      </c>
    </row>
    <row r="254" spans="2:12" ht="36">
      <c r="B254" s="267" t="s">
        <v>262</v>
      </c>
      <c r="C254" s="266" t="s">
        <v>460</v>
      </c>
      <c r="D254" s="266" t="s">
        <v>399</v>
      </c>
      <c r="E254" s="266" t="s">
        <v>461</v>
      </c>
      <c r="F254" s="266" t="s">
        <v>462</v>
      </c>
      <c r="G254" s="266" t="s">
        <v>402</v>
      </c>
      <c r="H254" s="266" t="s">
        <v>403</v>
      </c>
      <c r="I254" s="266" t="s">
        <v>404</v>
      </c>
      <c r="J254" s="266" t="s">
        <v>463</v>
      </c>
      <c r="K254" s="268" t="s">
        <v>301</v>
      </c>
    </row>
    <row r="255" spans="2:12">
      <c r="B255" s="269" t="s">
        <v>442</v>
      </c>
      <c r="K255" s="21"/>
    </row>
    <row r="256" spans="2:12">
      <c r="B256" s="271" t="s">
        <v>297</v>
      </c>
      <c r="C256" s="89">
        <v>602</v>
      </c>
      <c r="D256" s="89">
        <v>326</v>
      </c>
      <c r="E256" s="89">
        <v>252</v>
      </c>
      <c r="F256" s="89">
        <v>229</v>
      </c>
      <c r="G256" s="89">
        <v>186</v>
      </c>
      <c r="H256" s="89">
        <v>228</v>
      </c>
      <c r="I256" s="89">
        <v>144</v>
      </c>
      <c r="J256" s="89">
        <v>22</v>
      </c>
      <c r="K256" s="108">
        <f>SUM(C256:J256)</f>
        <v>1989</v>
      </c>
      <c r="L256" s="358"/>
    </row>
    <row r="257" spans="2:12">
      <c r="B257" s="271" t="s">
        <v>298</v>
      </c>
      <c r="C257" s="89">
        <v>216</v>
      </c>
      <c r="D257" s="89">
        <v>139</v>
      </c>
      <c r="E257" s="89">
        <v>68</v>
      </c>
      <c r="F257" s="89">
        <v>150</v>
      </c>
      <c r="G257" s="89">
        <v>133</v>
      </c>
      <c r="H257" s="89">
        <v>7</v>
      </c>
      <c r="I257" s="89">
        <v>71</v>
      </c>
      <c r="J257" s="89">
        <v>6</v>
      </c>
      <c r="K257" s="108">
        <f>SUM(C257:J257)</f>
        <v>790</v>
      </c>
      <c r="L257" s="358"/>
    </row>
    <row r="258" spans="2:12">
      <c r="B258" s="271" t="s">
        <v>300</v>
      </c>
      <c r="C258" s="89">
        <v>46</v>
      </c>
      <c r="D258" s="89">
        <v>2</v>
      </c>
      <c r="E258" s="89">
        <v>10</v>
      </c>
      <c r="F258" s="89">
        <v>1</v>
      </c>
      <c r="G258" s="89">
        <v>3</v>
      </c>
      <c r="H258" s="89">
        <v>9</v>
      </c>
      <c r="I258" s="89">
        <v>1</v>
      </c>
      <c r="J258" s="89">
        <v>19</v>
      </c>
      <c r="K258" s="108">
        <f>SUM(C258:J258)</f>
        <v>91</v>
      </c>
      <c r="L258" s="358"/>
    </row>
    <row r="259" spans="2:12">
      <c r="B259" s="271" t="s">
        <v>299</v>
      </c>
      <c r="C259" s="89">
        <v>157</v>
      </c>
      <c r="D259" s="89">
        <v>29</v>
      </c>
      <c r="E259" s="89">
        <v>91</v>
      </c>
      <c r="F259" s="89">
        <v>34</v>
      </c>
      <c r="G259" s="89">
        <v>12</v>
      </c>
      <c r="H259" s="89">
        <v>2</v>
      </c>
      <c r="I259" s="89">
        <v>3</v>
      </c>
      <c r="J259" s="89">
        <v>45</v>
      </c>
      <c r="K259" s="108">
        <f>SUM(C259:J259)</f>
        <v>373</v>
      </c>
      <c r="L259" s="358"/>
    </row>
    <row r="260" spans="2:12">
      <c r="B260" s="272" t="s">
        <v>301</v>
      </c>
      <c r="C260" s="276">
        <f>SUM(C256:C259)</f>
        <v>1021</v>
      </c>
      <c r="D260" s="276">
        <f t="shared" ref="D260:K260" si="30">SUM(D256:D259)</f>
        <v>496</v>
      </c>
      <c r="E260" s="276">
        <f t="shared" si="30"/>
        <v>421</v>
      </c>
      <c r="F260" s="276">
        <f t="shared" si="30"/>
        <v>414</v>
      </c>
      <c r="G260" s="276">
        <f t="shared" si="30"/>
        <v>334</v>
      </c>
      <c r="H260" s="276">
        <f t="shared" si="30"/>
        <v>246</v>
      </c>
      <c r="I260" s="276">
        <f t="shared" si="30"/>
        <v>219</v>
      </c>
      <c r="J260" s="276">
        <f t="shared" si="30"/>
        <v>92</v>
      </c>
      <c r="K260" s="277">
        <f t="shared" si="30"/>
        <v>3243</v>
      </c>
    </row>
    <row r="261" spans="2:12">
      <c r="B261" s="226"/>
      <c r="C261" s="101"/>
      <c r="D261" s="101"/>
      <c r="E261" s="101"/>
      <c r="F261" s="101"/>
      <c r="G261" s="101"/>
      <c r="H261" s="101"/>
      <c r="I261" s="101"/>
      <c r="J261" s="101"/>
      <c r="K261" s="108"/>
    </row>
    <row r="262" spans="2:12">
      <c r="B262" s="269" t="s">
        <v>445</v>
      </c>
      <c r="C262" s="89"/>
      <c r="D262" s="89"/>
      <c r="E262" s="89"/>
      <c r="F262" s="89"/>
      <c r="G262" s="89"/>
      <c r="H262" s="89"/>
      <c r="I262" s="89"/>
      <c r="J262" s="89"/>
      <c r="K262" s="108"/>
    </row>
    <row r="263" spans="2:12">
      <c r="B263" s="274" t="s">
        <v>347</v>
      </c>
      <c r="C263" s="89">
        <v>430</v>
      </c>
      <c r="D263" s="89">
        <v>223</v>
      </c>
      <c r="E263" s="89">
        <v>180</v>
      </c>
      <c r="F263" s="89">
        <v>162</v>
      </c>
      <c r="G263" s="89">
        <v>128</v>
      </c>
      <c r="H263" s="89">
        <v>92</v>
      </c>
      <c r="I263" s="89">
        <v>75</v>
      </c>
      <c r="J263" s="89">
        <v>28</v>
      </c>
      <c r="K263" s="108">
        <f>SUM(C263:J263)</f>
        <v>1318</v>
      </c>
      <c r="L263" s="101"/>
    </row>
    <row r="264" spans="2:12">
      <c r="B264" s="274" t="s">
        <v>345</v>
      </c>
      <c r="C264" s="89">
        <v>591</v>
      </c>
      <c r="D264" s="89">
        <v>273</v>
      </c>
      <c r="E264" s="89">
        <v>241</v>
      </c>
      <c r="F264" s="89">
        <v>252</v>
      </c>
      <c r="G264" s="89">
        <v>206</v>
      </c>
      <c r="H264" s="89">
        <v>154</v>
      </c>
      <c r="I264" s="89">
        <v>144</v>
      </c>
      <c r="J264" s="89">
        <v>64</v>
      </c>
      <c r="K264" s="108">
        <f>SUM(C264:J264)</f>
        <v>1925</v>
      </c>
      <c r="L264" s="101"/>
    </row>
    <row r="265" spans="2:12">
      <c r="B265" s="270" t="s">
        <v>301</v>
      </c>
      <c r="C265" s="276">
        <f>SUM(C263:C264)</f>
        <v>1021</v>
      </c>
      <c r="D265" s="276">
        <f t="shared" ref="D265:K265" si="31">SUM(D263:D264)</f>
        <v>496</v>
      </c>
      <c r="E265" s="276">
        <f t="shared" si="31"/>
        <v>421</v>
      </c>
      <c r="F265" s="276">
        <f t="shared" si="31"/>
        <v>414</v>
      </c>
      <c r="G265" s="276">
        <f t="shared" si="31"/>
        <v>334</v>
      </c>
      <c r="H265" s="276">
        <f t="shared" si="31"/>
        <v>246</v>
      </c>
      <c r="I265" s="276">
        <f t="shared" si="31"/>
        <v>219</v>
      </c>
      <c r="J265" s="276">
        <f t="shared" si="31"/>
        <v>92</v>
      </c>
      <c r="K265" s="277">
        <f t="shared" si="31"/>
        <v>3243</v>
      </c>
    </row>
    <row r="266" spans="2:12">
      <c r="B266" s="264"/>
      <c r="C266" s="358"/>
      <c r="D266" s="358"/>
      <c r="E266" s="358"/>
      <c r="F266" s="358"/>
      <c r="G266" s="358"/>
      <c r="H266" s="358"/>
      <c r="I266" s="358"/>
      <c r="J266" s="358"/>
    </row>
    <row r="267" spans="2:12">
      <c r="B267" s="264"/>
      <c r="E267" s="145"/>
      <c r="F267" s="145"/>
      <c r="G267" s="145"/>
    </row>
    <row r="268" spans="2:12">
      <c r="B268" s="265" t="s">
        <v>468</v>
      </c>
    </row>
    <row r="269" spans="2:12">
      <c r="B269" s="264"/>
      <c r="K269" s="366" t="s">
        <v>439</v>
      </c>
    </row>
    <row r="270" spans="2:12" ht="36">
      <c r="B270" s="267" t="s">
        <v>262</v>
      </c>
      <c r="C270" s="266" t="s">
        <v>460</v>
      </c>
      <c r="D270" s="266" t="s">
        <v>399</v>
      </c>
      <c r="E270" s="266" t="s">
        <v>461</v>
      </c>
      <c r="F270" s="266" t="s">
        <v>462</v>
      </c>
      <c r="G270" s="266" t="s">
        <v>402</v>
      </c>
      <c r="H270" s="266" t="s">
        <v>403</v>
      </c>
      <c r="I270" s="266" t="s">
        <v>404</v>
      </c>
      <c r="J270" s="266" t="s">
        <v>463</v>
      </c>
      <c r="K270" s="268" t="s">
        <v>301</v>
      </c>
    </row>
    <row r="271" spans="2:12">
      <c r="B271" s="269" t="s">
        <v>442</v>
      </c>
      <c r="K271" s="21"/>
    </row>
    <row r="272" spans="2:12">
      <c r="B272" s="271" t="s">
        <v>297</v>
      </c>
      <c r="C272" s="89">
        <v>589</v>
      </c>
      <c r="D272" s="89">
        <v>318</v>
      </c>
      <c r="E272" s="89">
        <v>264</v>
      </c>
      <c r="F272" s="89">
        <v>233</v>
      </c>
      <c r="G272" s="89">
        <v>185</v>
      </c>
      <c r="H272" s="89">
        <v>229</v>
      </c>
      <c r="I272" s="89">
        <v>134</v>
      </c>
      <c r="J272" s="89">
        <v>18</v>
      </c>
      <c r="K272" s="108">
        <f>SUM(C272:J272)</f>
        <v>1970</v>
      </c>
      <c r="L272" s="358"/>
    </row>
    <row r="273" spans="2:12">
      <c r="B273" s="271" t="s">
        <v>298</v>
      </c>
      <c r="C273" s="89">
        <v>223</v>
      </c>
      <c r="D273" s="89">
        <v>141</v>
      </c>
      <c r="E273" s="89">
        <v>62</v>
      </c>
      <c r="F273" s="89">
        <v>147</v>
      </c>
      <c r="G273" s="89">
        <v>124</v>
      </c>
      <c r="H273" s="89">
        <v>6</v>
      </c>
      <c r="I273" s="89">
        <v>67</v>
      </c>
      <c r="J273" s="89">
        <v>5</v>
      </c>
      <c r="K273" s="108">
        <f>SUM(C273:J273)</f>
        <v>775</v>
      </c>
      <c r="L273" s="358"/>
    </row>
    <row r="274" spans="2:12">
      <c r="B274" s="271" t="s">
        <v>300</v>
      </c>
      <c r="C274" s="89">
        <v>48</v>
      </c>
      <c r="D274" s="89">
        <v>2</v>
      </c>
      <c r="E274" s="89">
        <v>7</v>
      </c>
      <c r="F274" s="89">
        <v>0</v>
      </c>
      <c r="G274" s="89">
        <v>3</v>
      </c>
      <c r="H274" s="89">
        <v>7</v>
      </c>
      <c r="I274" s="89">
        <v>2</v>
      </c>
      <c r="J274" s="89">
        <v>17</v>
      </c>
      <c r="K274" s="108">
        <f>SUM(C274:J274)</f>
        <v>86</v>
      </c>
      <c r="L274" s="358"/>
    </row>
    <row r="275" spans="2:12">
      <c r="B275" s="271" t="s">
        <v>299</v>
      </c>
      <c r="C275" s="89">
        <v>163</v>
      </c>
      <c r="D275" s="89">
        <v>28</v>
      </c>
      <c r="E275" s="89">
        <v>87</v>
      </c>
      <c r="F275" s="89">
        <v>40</v>
      </c>
      <c r="G275" s="89">
        <v>13</v>
      </c>
      <c r="H275" s="89">
        <v>1</v>
      </c>
      <c r="I275" s="89">
        <v>4</v>
      </c>
      <c r="J275" s="89">
        <v>43</v>
      </c>
      <c r="K275" s="108">
        <f>SUM(C275:J275)</f>
        <v>379</v>
      </c>
      <c r="L275" s="358"/>
    </row>
    <row r="276" spans="2:12">
      <c r="B276" s="272" t="s">
        <v>301</v>
      </c>
      <c r="C276" s="276">
        <f>SUM(C272:C275)</f>
        <v>1023</v>
      </c>
      <c r="D276" s="276">
        <f t="shared" ref="D276:K276" si="32">SUM(D272:D275)</f>
        <v>489</v>
      </c>
      <c r="E276" s="276">
        <f t="shared" si="32"/>
        <v>420</v>
      </c>
      <c r="F276" s="276">
        <f t="shared" si="32"/>
        <v>420</v>
      </c>
      <c r="G276" s="276">
        <f t="shared" si="32"/>
        <v>325</v>
      </c>
      <c r="H276" s="276">
        <f t="shared" si="32"/>
        <v>243</v>
      </c>
      <c r="I276" s="276">
        <f t="shared" si="32"/>
        <v>207</v>
      </c>
      <c r="J276" s="276">
        <f t="shared" si="32"/>
        <v>83</v>
      </c>
      <c r="K276" s="277">
        <f t="shared" si="32"/>
        <v>3210</v>
      </c>
    </row>
    <row r="277" spans="2:12">
      <c r="B277" s="226"/>
      <c r="C277" s="101"/>
      <c r="D277" s="101"/>
      <c r="E277" s="101"/>
      <c r="F277" s="101"/>
      <c r="G277" s="101"/>
      <c r="H277" s="101"/>
      <c r="I277" s="101"/>
      <c r="J277" s="101"/>
      <c r="K277" s="108"/>
    </row>
    <row r="278" spans="2:12">
      <c r="B278" s="269" t="s">
        <v>445</v>
      </c>
      <c r="C278" s="89"/>
      <c r="D278" s="89"/>
      <c r="E278" s="89"/>
      <c r="F278" s="89"/>
      <c r="G278" s="89"/>
      <c r="H278" s="89"/>
      <c r="I278" s="89"/>
      <c r="J278" s="89"/>
      <c r="K278" s="108"/>
    </row>
    <row r="279" spans="2:12">
      <c r="B279" s="274" t="s">
        <v>347</v>
      </c>
      <c r="C279" s="89">
        <v>401</v>
      </c>
      <c r="D279" s="89">
        <v>209</v>
      </c>
      <c r="E279" s="89">
        <v>166</v>
      </c>
      <c r="F279" s="89">
        <v>158</v>
      </c>
      <c r="G279" s="89">
        <v>121</v>
      </c>
      <c r="H279" s="89">
        <v>88</v>
      </c>
      <c r="I279" s="89">
        <v>64</v>
      </c>
      <c r="J279" s="89">
        <v>23</v>
      </c>
      <c r="K279" s="108">
        <f>SUM(C279:J279)</f>
        <v>1230</v>
      </c>
      <c r="L279" s="101"/>
    </row>
    <row r="280" spans="2:12">
      <c r="B280" s="274" t="s">
        <v>345</v>
      </c>
      <c r="C280" s="89">
        <v>622</v>
      </c>
      <c r="D280" s="89">
        <v>280</v>
      </c>
      <c r="E280" s="89">
        <v>254</v>
      </c>
      <c r="F280" s="89">
        <v>262</v>
      </c>
      <c r="G280" s="89">
        <v>204</v>
      </c>
      <c r="H280" s="89">
        <v>155</v>
      </c>
      <c r="I280" s="89">
        <v>143</v>
      </c>
      <c r="J280" s="89">
        <v>60</v>
      </c>
      <c r="K280" s="108">
        <f>SUM(C280:J280)</f>
        <v>1980</v>
      </c>
      <c r="L280" s="101"/>
    </row>
    <row r="281" spans="2:12">
      <c r="B281" s="270" t="s">
        <v>301</v>
      </c>
      <c r="C281" s="276">
        <f>SUM(C279:C280)</f>
        <v>1023</v>
      </c>
      <c r="D281" s="276">
        <f t="shared" ref="D281:K281" si="33">SUM(D279:D280)</f>
        <v>489</v>
      </c>
      <c r="E281" s="276">
        <f t="shared" si="33"/>
        <v>420</v>
      </c>
      <c r="F281" s="276">
        <f t="shared" si="33"/>
        <v>420</v>
      </c>
      <c r="G281" s="276">
        <f t="shared" si="33"/>
        <v>325</v>
      </c>
      <c r="H281" s="276">
        <f t="shared" si="33"/>
        <v>243</v>
      </c>
      <c r="I281" s="276">
        <f t="shared" si="33"/>
        <v>207</v>
      </c>
      <c r="J281" s="276">
        <f t="shared" si="33"/>
        <v>83</v>
      </c>
      <c r="K281" s="277">
        <f t="shared" si="33"/>
        <v>3210</v>
      </c>
    </row>
    <row r="282" spans="2:12">
      <c r="B282" s="264"/>
      <c r="C282" s="358"/>
      <c r="D282" s="358"/>
      <c r="E282" s="358"/>
      <c r="F282" s="358"/>
      <c r="G282" s="358"/>
      <c r="H282" s="358"/>
      <c r="I282" s="358"/>
      <c r="J282" s="358"/>
    </row>
    <row r="283" spans="2:12">
      <c r="B283" s="265" t="s">
        <v>469</v>
      </c>
    </row>
    <row r="284" spans="2:12">
      <c r="B284" s="264"/>
      <c r="K284" s="366" t="s">
        <v>439</v>
      </c>
    </row>
    <row r="285" spans="2:12" ht="36">
      <c r="B285" s="267" t="s">
        <v>262</v>
      </c>
      <c r="C285" s="266" t="s">
        <v>460</v>
      </c>
      <c r="D285" s="266" t="s">
        <v>399</v>
      </c>
      <c r="E285" s="266" t="s">
        <v>461</v>
      </c>
      <c r="F285" s="266" t="s">
        <v>462</v>
      </c>
      <c r="G285" s="266" t="s">
        <v>402</v>
      </c>
      <c r="H285" s="266" t="s">
        <v>403</v>
      </c>
      <c r="I285" s="266" t="s">
        <v>404</v>
      </c>
      <c r="J285" s="266" t="s">
        <v>463</v>
      </c>
      <c r="K285" s="268" t="s">
        <v>301</v>
      </c>
    </row>
    <row r="286" spans="2:12">
      <c r="B286" s="269" t="s">
        <v>442</v>
      </c>
      <c r="K286" s="21"/>
    </row>
    <row r="287" spans="2:12">
      <c r="B287" s="271" t="s">
        <v>297</v>
      </c>
      <c r="C287" s="89">
        <v>579</v>
      </c>
      <c r="D287" s="89">
        <v>319</v>
      </c>
      <c r="E287" s="89">
        <v>270</v>
      </c>
      <c r="F287" s="89">
        <v>224</v>
      </c>
      <c r="G287" s="89">
        <v>169</v>
      </c>
      <c r="H287" s="89">
        <v>229</v>
      </c>
      <c r="I287" s="89">
        <v>121</v>
      </c>
      <c r="J287" s="89">
        <v>16</v>
      </c>
      <c r="K287" s="108">
        <f>SUM(C287:J287)</f>
        <v>1927</v>
      </c>
      <c r="L287" s="358"/>
    </row>
    <row r="288" spans="2:12">
      <c r="B288" s="271" t="s">
        <v>298</v>
      </c>
      <c r="C288" s="89">
        <v>192</v>
      </c>
      <c r="D288" s="89">
        <v>142</v>
      </c>
      <c r="E288" s="89">
        <v>65</v>
      </c>
      <c r="F288" s="89">
        <v>143</v>
      </c>
      <c r="G288" s="89">
        <v>118</v>
      </c>
      <c r="H288" s="89">
        <v>6</v>
      </c>
      <c r="I288" s="89">
        <v>68</v>
      </c>
      <c r="J288" s="89">
        <v>5</v>
      </c>
      <c r="K288" s="108">
        <f>SUM(C288:J288)</f>
        <v>739</v>
      </c>
      <c r="L288" s="358"/>
    </row>
    <row r="289" spans="2:12">
      <c r="B289" s="271" t="s">
        <v>300</v>
      </c>
      <c r="C289" s="89">
        <v>43</v>
      </c>
      <c r="D289" s="89">
        <v>2</v>
      </c>
      <c r="E289" s="89">
        <v>4</v>
      </c>
      <c r="F289" s="89">
        <v>0</v>
      </c>
      <c r="G289" s="89">
        <v>3</v>
      </c>
      <c r="H289" s="89">
        <v>5</v>
      </c>
      <c r="I289" s="89">
        <v>1</v>
      </c>
      <c r="J289" s="89">
        <v>15</v>
      </c>
      <c r="K289" s="108">
        <f>SUM(C289:J289)</f>
        <v>73</v>
      </c>
      <c r="L289" s="358"/>
    </row>
    <row r="290" spans="2:12">
      <c r="B290" s="271" t="s">
        <v>299</v>
      </c>
      <c r="C290" s="89">
        <v>171</v>
      </c>
      <c r="D290" s="89">
        <v>30</v>
      </c>
      <c r="E290" s="89">
        <v>92</v>
      </c>
      <c r="F290" s="89">
        <v>40</v>
      </c>
      <c r="G290" s="89">
        <v>11</v>
      </c>
      <c r="H290" s="89">
        <v>1</v>
      </c>
      <c r="I290" s="89">
        <v>3</v>
      </c>
      <c r="J290" s="89">
        <v>44</v>
      </c>
      <c r="K290" s="108">
        <f>SUM(C290:J290)</f>
        <v>392</v>
      </c>
      <c r="L290" s="358"/>
    </row>
    <row r="291" spans="2:12">
      <c r="B291" s="272" t="s">
        <v>301</v>
      </c>
      <c r="C291" s="276">
        <f>SUM(C287:C290)</f>
        <v>985</v>
      </c>
      <c r="D291" s="276">
        <f t="shared" ref="D291:K291" si="34">SUM(D287:D290)</f>
        <v>493</v>
      </c>
      <c r="E291" s="276">
        <f t="shared" si="34"/>
        <v>431</v>
      </c>
      <c r="F291" s="276">
        <f t="shared" si="34"/>
        <v>407</v>
      </c>
      <c r="G291" s="276">
        <f t="shared" si="34"/>
        <v>301</v>
      </c>
      <c r="H291" s="276">
        <f t="shared" si="34"/>
        <v>241</v>
      </c>
      <c r="I291" s="276">
        <f t="shared" si="34"/>
        <v>193</v>
      </c>
      <c r="J291" s="276">
        <f t="shared" si="34"/>
        <v>80</v>
      </c>
      <c r="K291" s="277">
        <f t="shared" si="34"/>
        <v>3131</v>
      </c>
    </row>
    <row r="292" spans="2:12">
      <c r="B292" s="226"/>
      <c r="C292" s="101"/>
      <c r="D292" s="101"/>
      <c r="E292" s="101"/>
      <c r="F292" s="101"/>
      <c r="G292" s="101"/>
      <c r="H292" s="101"/>
      <c r="I292" s="101"/>
      <c r="J292" s="101"/>
      <c r="K292" s="108"/>
    </row>
    <row r="293" spans="2:12">
      <c r="B293" s="269" t="s">
        <v>445</v>
      </c>
      <c r="C293" s="89"/>
      <c r="D293" s="89"/>
      <c r="E293" s="89"/>
      <c r="F293" s="89"/>
      <c r="G293" s="89"/>
      <c r="H293" s="89"/>
      <c r="I293" s="89"/>
      <c r="J293" s="89"/>
      <c r="K293" s="108"/>
    </row>
    <row r="294" spans="2:12">
      <c r="B294" s="274" t="s">
        <v>347</v>
      </c>
      <c r="C294" s="89">
        <v>359</v>
      </c>
      <c r="D294" s="89">
        <v>204</v>
      </c>
      <c r="E294" s="89">
        <v>154</v>
      </c>
      <c r="F294" s="89">
        <v>140</v>
      </c>
      <c r="G294" s="89">
        <v>110</v>
      </c>
      <c r="H294" s="89">
        <v>84</v>
      </c>
      <c r="I294" s="89">
        <v>52</v>
      </c>
      <c r="J294" s="89">
        <v>16</v>
      </c>
      <c r="K294" s="108">
        <f>SUM(C294:J294)</f>
        <v>1119</v>
      </c>
      <c r="L294" s="101"/>
    </row>
    <row r="295" spans="2:12">
      <c r="B295" s="274" t="s">
        <v>345</v>
      </c>
      <c r="C295" s="89">
        <v>626</v>
      </c>
      <c r="D295" s="89">
        <v>289</v>
      </c>
      <c r="E295" s="89">
        <v>277</v>
      </c>
      <c r="F295" s="89">
        <v>267</v>
      </c>
      <c r="G295" s="89">
        <v>191</v>
      </c>
      <c r="H295" s="89">
        <v>157</v>
      </c>
      <c r="I295" s="89">
        <v>141</v>
      </c>
      <c r="J295" s="89">
        <v>64</v>
      </c>
      <c r="K295" s="108">
        <f>SUM(C295:J295)</f>
        <v>2012</v>
      </c>
      <c r="L295" s="101"/>
    </row>
    <row r="296" spans="2:12">
      <c r="B296" s="270" t="s">
        <v>301</v>
      </c>
      <c r="C296" s="276">
        <f>SUM(C294:C295)</f>
        <v>985</v>
      </c>
      <c r="D296" s="276">
        <f t="shared" ref="D296:K296" si="35">SUM(D294:D295)</f>
        <v>493</v>
      </c>
      <c r="E296" s="276">
        <f t="shared" si="35"/>
        <v>431</v>
      </c>
      <c r="F296" s="276">
        <f t="shared" si="35"/>
        <v>407</v>
      </c>
      <c r="G296" s="276">
        <f t="shared" si="35"/>
        <v>301</v>
      </c>
      <c r="H296" s="276">
        <f t="shared" si="35"/>
        <v>241</v>
      </c>
      <c r="I296" s="276">
        <f t="shared" si="35"/>
        <v>193</v>
      </c>
      <c r="J296" s="276">
        <f t="shared" si="35"/>
        <v>80</v>
      </c>
      <c r="K296" s="277">
        <f t="shared" si="35"/>
        <v>3131</v>
      </c>
    </row>
    <row r="297" spans="2:12">
      <c r="B297" s="264"/>
      <c r="C297" s="358"/>
      <c r="D297" s="358"/>
      <c r="E297" s="358"/>
      <c r="F297" s="358"/>
      <c r="G297" s="358"/>
      <c r="H297" s="358"/>
      <c r="I297" s="358"/>
      <c r="J297" s="358"/>
    </row>
    <row r="298" spans="2:12">
      <c r="B298" s="264"/>
      <c r="E298" s="145"/>
      <c r="F298" s="145"/>
      <c r="G298" s="145"/>
    </row>
    <row r="299" spans="2:12">
      <c r="B299" s="265" t="s">
        <v>470</v>
      </c>
      <c r="E299" s="145"/>
      <c r="F299" s="145"/>
      <c r="G299" s="145"/>
    </row>
    <row r="300" spans="2:12">
      <c r="B300" s="264"/>
      <c r="K300" s="366" t="s">
        <v>439</v>
      </c>
    </row>
    <row r="301" spans="2:12" ht="36">
      <c r="B301" s="267" t="s">
        <v>262</v>
      </c>
      <c r="C301" s="266" t="s">
        <v>460</v>
      </c>
      <c r="D301" s="266" t="s">
        <v>399</v>
      </c>
      <c r="E301" s="266" t="s">
        <v>461</v>
      </c>
      <c r="F301" s="266" t="s">
        <v>462</v>
      </c>
      <c r="G301" s="266" t="s">
        <v>402</v>
      </c>
      <c r="H301" s="266" t="s">
        <v>403</v>
      </c>
      <c r="I301" s="266" t="s">
        <v>404</v>
      </c>
      <c r="J301" s="266" t="s">
        <v>463</v>
      </c>
      <c r="K301" s="268" t="s">
        <v>301</v>
      </c>
    </row>
    <row r="302" spans="2:12">
      <c r="B302" s="269" t="s">
        <v>442</v>
      </c>
      <c r="K302" s="21"/>
    </row>
    <row r="303" spans="2:12">
      <c r="B303" s="271" t="s">
        <v>297</v>
      </c>
      <c r="C303" s="89">
        <v>2290</v>
      </c>
      <c r="D303" s="89">
        <v>1255</v>
      </c>
      <c r="E303" s="89">
        <v>796</v>
      </c>
      <c r="F303" s="89">
        <v>838</v>
      </c>
      <c r="G303" s="89">
        <v>619</v>
      </c>
      <c r="H303" s="89">
        <v>844</v>
      </c>
      <c r="I303" s="89">
        <v>438</v>
      </c>
      <c r="J303" s="89">
        <v>61</v>
      </c>
      <c r="K303" s="90">
        <v>7141</v>
      </c>
    </row>
    <row r="304" spans="2:12">
      <c r="B304" s="271" t="s">
        <v>298</v>
      </c>
      <c r="C304" s="89">
        <v>698</v>
      </c>
      <c r="D304" s="89">
        <v>548</v>
      </c>
      <c r="E304" s="89">
        <v>271</v>
      </c>
      <c r="F304" s="89">
        <v>507</v>
      </c>
      <c r="G304" s="89">
        <v>499</v>
      </c>
      <c r="H304" s="89">
        <v>15</v>
      </c>
      <c r="I304" s="89">
        <v>287</v>
      </c>
      <c r="J304" s="89">
        <v>22</v>
      </c>
      <c r="K304" s="90">
        <v>2847</v>
      </c>
    </row>
    <row r="305" spans="2:11">
      <c r="B305" s="271" t="s">
        <v>300</v>
      </c>
      <c r="C305" s="89">
        <v>172</v>
      </c>
      <c r="D305" s="89">
        <v>3</v>
      </c>
      <c r="E305" s="89">
        <v>8</v>
      </c>
      <c r="F305" s="288">
        <v>0</v>
      </c>
      <c r="G305" s="89">
        <v>12</v>
      </c>
      <c r="H305" s="89">
        <v>20</v>
      </c>
      <c r="I305" s="89">
        <v>2</v>
      </c>
      <c r="J305" s="89">
        <v>75</v>
      </c>
      <c r="K305" s="90">
        <v>292</v>
      </c>
    </row>
    <row r="306" spans="2:11">
      <c r="B306" s="271" t="s">
        <v>299</v>
      </c>
      <c r="C306" s="89">
        <v>618</v>
      </c>
      <c r="D306" s="89">
        <v>129</v>
      </c>
      <c r="E306" s="89">
        <v>413</v>
      </c>
      <c r="F306" s="89">
        <v>138</v>
      </c>
      <c r="G306" s="89">
        <v>33</v>
      </c>
      <c r="H306" s="89">
        <v>3</v>
      </c>
      <c r="I306" s="89">
        <v>16</v>
      </c>
      <c r="J306" s="89">
        <v>169</v>
      </c>
      <c r="K306" s="90">
        <v>1519</v>
      </c>
    </row>
    <row r="307" spans="2:11">
      <c r="B307" s="272" t="s">
        <v>301</v>
      </c>
      <c r="C307" s="276">
        <v>3778</v>
      </c>
      <c r="D307" s="276">
        <v>1935</v>
      </c>
      <c r="E307" s="276">
        <v>1488</v>
      </c>
      <c r="F307" s="276">
        <v>1483</v>
      </c>
      <c r="G307" s="276">
        <v>1163</v>
      </c>
      <c r="H307" s="276">
        <v>882</v>
      </c>
      <c r="I307" s="276">
        <v>743</v>
      </c>
      <c r="J307" s="276">
        <v>327</v>
      </c>
      <c r="K307" s="277">
        <v>11799</v>
      </c>
    </row>
    <row r="308" spans="2:11">
      <c r="B308" s="226"/>
      <c r="C308" s="89"/>
      <c r="D308" s="89"/>
      <c r="E308" s="89"/>
      <c r="F308" s="89"/>
      <c r="G308" s="89"/>
      <c r="H308" s="89"/>
      <c r="I308" s="89"/>
      <c r="J308" s="89"/>
      <c r="K308" s="90"/>
    </row>
    <row r="309" spans="2:11">
      <c r="B309" s="269" t="s">
        <v>445</v>
      </c>
      <c r="C309" s="89"/>
      <c r="D309" s="89"/>
      <c r="E309" s="89"/>
      <c r="F309" s="89"/>
      <c r="G309" s="89"/>
      <c r="H309" s="89"/>
      <c r="I309" s="89"/>
      <c r="J309" s="89"/>
      <c r="K309" s="90"/>
    </row>
    <row r="310" spans="2:11">
      <c r="B310" s="273" t="s">
        <v>346</v>
      </c>
      <c r="C310" s="89"/>
      <c r="D310" s="89"/>
      <c r="E310" s="89"/>
      <c r="F310" s="89"/>
      <c r="G310" s="89"/>
      <c r="H310" s="89"/>
      <c r="I310" s="89"/>
      <c r="J310" s="89"/>
      <c r="K310" s="90"/>
    </row>
    <row r="311" spans="2:11">
      <c r="B311" s="274" t="s">
        <v>347</v>
      </c>
      <c r="C311" s="89">
        <v>1076</v>
      </c>
      <c r="D311" s="89">
        <v>630</v>
      </c>
      <c r="E311" s="89">
        <v>491</v>
      </c>
      <c r="F311" s="89">
        <v>427</v>
      </c>
      <c r="G311" s="89">
        <v>327</v>
      </c>
      <c r="H311" s="89">
        <v>285</v>
      </c>
      <c r="I311" s="89">
        <v>156</v>
      </c>
      <c r="J311" s="89">
        <v>44</v>
      </c>
      <c r="K311" s="90">
        <v>3436</v>
      </c>
    </row>
    <row r="312" spans="2:11">
      <c r="B312" s="274" t="s">
        <v>345</v>
      </c>
      <c r="C312" s="89">
        <v>2293</v>
      </c>
      <c r="D312" s="89">
        <v>1255</v>
      </c>
      <c r="E312" s="89">
        <v>971</v>
      </c>
      <c r="F312" s="89">
        <v>1026</v>
      </c>
      <c r="G312" s="89">
        <v>805</v>
      </c>
      <c r="H312" s="89">
        <v>584</v>
      </c>
      <c r="I312" s="89">
        <v>539</v>
      </c>
      <c r="J312" s="89">
        <v>275</v>
      </c>
      <c r="K312" s="90">
        <v>7748</v>
      </c>
    </row>
    <row r="313" spans="2:11">
      <c r="B313" s="269" t="s">
        <v>471</v>
      </c>
      <c r="C313" s="276">
        <v>3369</v>
      </c>
      <c r="D313" s="276">
        <v>1885</v>
      </c>
      <c r="E313" s="276">
        <v>1462</v>
      </c>
      <c r="F313" s="276">
        <v>1453</v>
      </c>
      <c r="G313" s="276">
        <v>1132</v>
      </c>
      <c r="H313" s="276">
        <v>869</v>
      </c>
      <c r="I313" s="276">
        <v>695</v>
      </c>
      <c r="J313" s="276">
        <v>319</v>
      </c>
      <c r="K313" s="277">
        <v>11184</v>
      </c>
    </row>
    <row r="314" spans="2:11">
      <c r="B314" s="269" t="s">
        <v>472</v>
      </c>
      <c r="C314" s="89"/>
      <c r="D314" s="89"/>
      <c r="E314" s="89"/>
      <c r="F314" s="89"/>
      <c r="G314" s="89"/>
      <c r="H314" s="89"/>
      <c r="I314" s="89"/>
      <c r="J314" s="89"/>
      <c r="K314" s="90"/>
    </row>
    <row r="315" spans="2:11">
      <c r="B315" s="274" t="s">
        <v>347</v>
      </c>
      <c r="C315" s="89">
        <v>104</v>
      </c>
      <c r="D315" s="89">
        <v>43</v>
      </c>
      <c r="E315" s="89">
        <v>25</v>
      </c>
      <c r="F315" s="89">
        <v>10</v>
      </c>
      <c r="G315" s="89">
        <v>20</v>
      </c>
      <c r="H315" s="89">
        <v>12</v>
      </c>
      <c r="I315" s="89">
        <v>29</v>
      </c>
      <c r="J315" s="89">
        <v>6</v>
      </c>
      <c r="K315" s="90">
        <v>249</v>
      </c>
    </row>
    <row r="316" spans="2:11">
      <c r="B316" s="274" t="s">
        <v>345</v>
      </c>
      <c r="C316" s="89">
        <v>305</v>
      </c>
      <c r="D316" s="89">
        <v>7</v>
      </c>
      <c r="E316" s="89">
        <v>1</v>
      </c>
      <c r="F316" s="89">
        <v>20</v>
      </c>
      <c r="G316" s="89">
        <v>11</v>
      </c>
      <c r="H316" s="89">
        <v>1</v>
      </c>
      <c r="I316" s="89">
        <v>19</v>
      </c>
      <c r="J316" s="89">
        <v>2</v>
      </c>
      <c r="K316" s="90">
        <v>366</v>
      </c>
    </row>
    <row r="317" spans="2:11">
      <c r="B317" s="269" t="s">
        <v>471</v>
      </c>
      <c r="C317" s="276">
        <v>409</v>
      </c>
      <c r="D317" s="276">
        <v>50</v>
      </c>
      <c r="E317" s="276">
        <v>26</v>
      </c>
      <c r="F317" s="276">
        <v>30</v>
      </c>
      <c r="G317" s="276">
        <v>31</v>
      </c>
      <c r="H317" s="276">
        <v>13</v>
      </c>
      <c r="I317" s="276">
        <v>48</v>
      </c>
      <c r="J317" s="276">
        <v>8</v>
      </c>
      <c r="K317" s="277">
        <v>615</v>
      </c>
    </row>
    <row r="318" spans="2:11">
      <c r="B318" s="269" t="s">
        <v>301</v>
      </c>
      <c r="C318" s="276">
        <v>3778</v>
      </c>
      <c r="D318" s="276">
        <v>1935</v>
      </c>
      <c r="E318" s="276">
        <v>1488</v>
      </c>
      <c r="F318" s="276">
        <v>1483</v>
      </c>
      <c r="G318" s="276">
        <v>1163</v>
      </c>
      <c r="H318" s="276">
        <v>882</v>
      </c>
      <c r="I318" s="276">
        <v>743</v>
      </c>
      <c r="J318" s="276">
        <v>327</v>
      </c>
      <c r="K318" s="277">
        <v>11799</v>
      </c>
    </row>
    <row r="319" spans="2:11">
      <c r="B319" s="274" t="s">
        <v>347</v>
      </c>
      <c r="C319" s="89">
        <v>1180</v>
      </c>
      <c r="D319" s="89">
        <v>673</v>
      </c>
      <c r="E319" s="89">
        <v>516</v>
      </c>
      <c r="F319" s="89">
        <v>437</v>
      </c>
      <c r="G319" s="89">
        <v>347</v>
      </c>
      <c r="H319" s="89">
        <v>297</v>
      </c>
      <c r="I319" s="89">
        <v>185</v>
      </c>
      <c r="J319" s="89">
        <v>50</v>
      </c>
      <c r="K319" s="90">
        <v>3685</v>
      </c>
    </row>
    <row r="320" spans="2:11">
      <c r="B320" s="274" t="s">
        <v>345</v>
      </c>
      <c r="C320" s="89">
        <v>2598</v>
      </c>
      <c r="D320" s="89">
        <v>1262</v>
      </c>
      <c r="E320" s="89">
        <v>972</v>
      </c>
      <c r="F320" s="89">
        <v>1046</v>
      </c>
      <c r="G320" s="89">
        <v>816</v>
      </c>
      <c r="H320" s="89">
        <v>585</v>
      </c>
      <c r="I320" s="89">
        <v>558</v>
      </c>
      <c r="J320" s="89">
        <v>277</v>
      </c>
      <c r="K320" s="90">
        <v>8114</v>
      </c>
    </row>
    <row r="321" spans="2:11">
      <c r="B321" s="226"/>
      <c r="C321" s="89"/>
      <c r="D321" s="89"/>
      <c r="E321" s="89"/>
      <c r="F321" s="89"/>
      <c r="G321" s="89"/>
      <c r="H321" s="89"/>
      <c r="I321" s="89"/>
      <c r="J321" s="89"/>
      <c r="K321" s="90"/>
    </row>
    <row r="322" spans="2:11">
      <c r="B322" s="269" t="s">
        <v>473</v>
      </c>
      <c r="C322" s="89"/>
      <c r="D322" s="89"/>
      <c r="E322" s="89"/>
      <c r="F322" s="89"/>
      <c r="G322" s="89"/>
      <c r="H322" s="89"/>
      <c r="I322" s="89"/>
      <c r="J322" s="89"/>
      <c r="K322" s="90"/>
    </row>
    <row r="323" spans="2:11">
      <c r="B323" s="226" t="s">
        <v>474</v>
      </c>
      <c r="C323" s="89">
        <v>1655</v>
      </c>
      <c r="D323" s="89">
        <v>1223</v>
      </c>
      <c r="E323" s="89">
        <v>903</v>
      </c>
      <c r="F323" s="89">
        <v>861</v>
      </c>
      <c r="G323" s="89">
        <v>596</v>
      </c>
      <c r="H323" s="89">
        <v>450</v>
      </c>
      <c r="I323" s="89">
        <v>347</v>
      </c>
      <c r="J323" s="89">
        <v>162</v>
      </c>
      <c r="K323" s="90">
        <v>6197</v>
      </c>
    </row>
    <row r="324" spans="2:11">
      <c r="B324" s="226" t="s">
        <v>475</v>
      </c>
      <c r="C324" s="89">
        <v>2123</v>
      </c>
      <c r="D324" s="89">
        <v>712</v>
      </c>
      <c r="E324" s="89">
        <v>585</v>
      </c>
      <c r="F324" s="89">
        <v>622</v>
      </c>
      <c r="G324" s="89">
        <v>567</v>
      </c>
      <c r="H324" s="89">
        <v>432</v>
      </c>
      <c r="I324" s="89">
        <v>396</v>
      </c>
      <c r="J324" s="89">
        <v>165</v>
      </c>
      <c r="K324" s="90">
        <v>5602</v>
      </c>
    </row>
    <row r="325" spans="2:11">
      <c r="B325" s="270" t="s">
        <v>301</v>
      </c>
      <c r="C325" s="276">
        <v>3778</v>
      </c>
      <c r="D325" s="276">
        <v>1935</v>
      </c>
      <c r="E325" s="276">
        <v>1488</v>
      </c>
      <c r="F325" s="276">
        <v>1483</v>
      </c>
      <c r="G325" s="276">
        <v>1163</v>
      </c>
      <c r="H325" s="276">
        <v>882</v>
      </c>
      <c r="I325" s="276">
        <v>743</v>
      </c>
      <c r="J325" s="276">
        <v>327</v>
      </c>
      <c r="K325" s="277">
        <v>11799</v>
      </c>
    </row>
    <row r="326" spans="2:11">
      <c r="B326" s="264"/>
    </row>
    <row r="327" spans="2:11">
      <c r="B327" s="264"/>
    </row>
    <row r="328" spans="2:11">
      <c r="B328" s="265" t="s">
        <v>476</v>
      </c>
    </row>
    <row r="329" spans="2:11">
      <c r="B329" s="264"/>
      <c r="K329" s="366" t="s">
        <v>439</v>
      </c>
    </row>
    <row r="330" spans="2:11" ht="36">
      <c r="B330" s="267" t="s">
        <v>262</v>
      </c>
      <c r="C330" s="266" t="s">
        <v>460</v>
      </c>
      <c r="D330" s="266" t="s">
        <v>399</v>
      </c>
      <c r="E330" s="266" t="s">
        <v>461</v>
      </c>
      <c r="F330" s="266" t="s">
        <v>462</v>
      </c>
      <c r="G330" s="266" t="s">
        <v>402</v>
      </c>
      <c r="H330" s="266" t="s">
        <v>403</v>
      </c>
      <c r="I330" s="266" t="s">
        <v>404</v>
      </c>
      <c r="J330" s="266" t="s">
        <v>463</v>
      </c>
      <c r="K330" s="268" t="s">
        <v>301</v>
      </c>
    </row>
    <row r="331" spans="2:11">
      <c r="B331" s="269" t="s">
        <v>442</v>
      </c>
      <c r="K331" s="21"/>
    </row>
    <row r="332" spans="2:11">
      <c r="B332" s="271" t="s">
        <v>297</v>
      </c>
      <c r="C332" s="89">
        <v>582</v>
      </c>
      <c r="D332" s="89">
        <v>314</v>
      </c>
      <c r="E332" s="89">
        <v>250</v>
      </c>
      <c r="F332" s="89">
        <v>214</v>
      </c>
      <c r="G332" s="89">
        <v>164</v>
      </c>
      <c r="H332" s="89">
        <v>223</v>
      </c>
      <c r="I332" s="89">
        <v>109</v>
      </c>
      <c r="J332" s="89">
        <v>18</v>
      </c>
      <c r="K332" s="90">
        <v>1874</v>
      </c>
    </row>
    <row r="333" spans="2:11">
      <c r="B333" s="271" t="s">
        <v>298</v>
      </c>
      <c r="C333" s="89">
        <v>177</v>
      </c>
      <c r="D333" s="89">
        <v>140</v>
      </c>
      <c r="E333" s="89">
        <v>67</v>
      </c>
      <c r="F333" s="89">
        <v>140</v>
      </c>
      <c r="G333" s="89">
        <v>130</v>
      </c>
      <c r="H333" s="89">
        <v>5</v>
      </c>
      <c r="I333" s="89">
        <v>70</v>
      </c>
      <c r="J333" s="89">
        <v>5</v>
      </c>
      <c r="K333" s="90">
        <v>734</v>
      </c>
    </row>
    <row r="334" spans="2:11">
      <c r="B334" s="271" t="s">
        <v>300</v>
      </c>
      <c r="C334" s="89">
        <v>42</v>
      </c>
      <c r="D334" s="89">
        <v>0</v>
      </c>
      <c r="E334" s="89">
        <v>4</v>
      </c>
      <c r="F334" s="89">
        <v>0</v>
      </c>
      <c r="G334" s="89">
        <v>3</v>
      </c>
      <c r="H334" s="89">
        <v>6</v>
      </c>
      <c r="I334" s="89">
        <v>0</v>
      </c>
      <c r="J334" s="89">
        <v>16</v>
      </c>
      <c r="K334" s="90">
        <v>71</v>
      </c>
    </row>
    <row r="335" spans="2:11">
      <c r="B335" s="271" t="s">
        <v>299</v>
      </c>
      <c r="C335" s="89">
        <v>166</v>
      </c>
      <c r="D335" s="89">
        <v>31</v>
      </c>
      <c r="E335" s="89">
        <v>94</v>
      </c>
      <c r="F335" s="89">
        <v>37</v>
      </c>
      <c r="G335" s="89">
        <v>10</v>
      </c>
      <c r="H335" s="89">
        <v>0</v>
      </c>
      <c r="I335" s="89">
        <v>4</v>
      </c>
      <c r="J335" s="89">
        <v>39</v>
      </c>
      <c r="K335" s="90">
        <v>381</v>
      </c>
    </row>
    <row r="336" spans="2:11">
      <c r="B336" s="272" t="s">
        <v>301</v>
      </c>
      <c r="C336" s="276">
        <v>967</v>
      </c>
      <c r="D336" s="276">
        <v>485</v>
      </c>
      <c r="E336" s="276">
        <v>415</v>
      </c>
      <c r="F336" s="276">
        <v>391</v>
      </c>
      <c r="G336" s="276">
        <v>307</v>
      </c>
      <c r="H336" s="276">
        <v>234</v>
      </c>
      <c r="I336" s="276">
        <v>183</v>
      </c>
      <c r="J336" s="276">
        <v>78</v>
      </c>
      <c r="K336" s="277">
        <v>3060</v>
      </c>
    </row>
    <row r="337" spans="2:11">
      <c r="B337" s="226"/>
      <c r="C337" s="89"/>
      <c r="D337" s="89"/>
      <c r="E337" s="89"/>
      <c r="F337" s="89"/>
      <c r="G337" s="89"/>
      <c r="H337" s="89"/>
      <c r="I337" s="89"/>
      <c r="J337" s="89"/>
      <c r="K337" s="90"/>
    </row>
    <row r="338" spans="2:11">
      <c r="B338" s="269" t="s">
        <v>445</v>
      </c>
      <c r="C338" s="89"/>
      <c r="D338" s="89"/>
      <c r="E338" s="89"/>
      <c r="F338" s="89"/>
      <c r="G338" s="89"/>
      <c r="H338" s="89"/>
      <c r="I338" s="89"/>
      <c r="J338" s="89"/>
      <c r="K338" s="90"/>
    </row>
    <row r="339" spans="2:11">
      <c r="B339" s="273" t="s">
        <v>346</v>
      </c>
      <c r="C339" s="89"/>
      <c r="D339" s="89"/>
      <c r="E339" s="89"/>
      <c r="F339" s="89"/>
      <c r="G339" s="89"/>
      <c r="H339" s="89"/>
      <c r="I339" s="89"/>
      <c r="J339" s="89"/>
      <c r="K339" s="90"/>
    </row>
    <row r="340" spans="2:11">
      <c r="B340" s="274" t="s">
        <v>347</v>
      </c>
      <c r="C340" s="89">
        <v>296</v>
      </c>
      <c r="D340" s="89">
        <v>174</v>
      </c>
      <c r="E340" s="89">
        <v>138</v>
      </c>
      <c r="F340" s="89">
        <v>129</v>
      </c>
      <c r="G340" s="89">
        <v>98</v>
      </c>
      <c r="H340" s="89">
        <v>75</v>
      </c>
      <c r="I340" s="89">
        <v>37</v>
      </c>
      <c r="J340" s="89">
        <v>14</v>
      </c>
      <c r="K340" s="90">
        <v>961</v>
      </c>
    </row>
    <row r="341" spans="2:11">
      <c r="B341" s="274" t="s">
        <v>345</v>
      </c>
      <c r="C341" s="89">
        <v>563</v>
      </c>
      <c r="D341" s="89">
        <v>300</v>
      </c>
      <c r="E341" s="89">
        <v>269</v>
      </c>
      <c r="F341" s="89">
        <v>254</v>
      </c>
      <c r="G341" s="89">
        <v>202</v>
      </c>
      <c r="H341" s="89">
        <v>150</v>
      </c>
      <c r="I341" s="89">
        <v>132</v>
      </c>
      <c r="J341" s="89">
        <v>62</v>
      </c>
      <c r="K341" s="90">
        <v>1932</v>
      </c>
    </row>
    <row r="342" spans="2:11">
      <c r="B342" s="269" t="s">
        <v>471</v>
      </c>
      <c r="C342" s="276">
        <v>859</v>
      </c>
      <c r="D342" s="276">
        <v>474</v>
      </c>
      <c r="E342" s="276">
        <v>407</v>
      </c>
      <c r="F342" s="276">
        <v>383</v>
      </c>
      <c r="G342" s="276">
        <v>300</v>
      </c>
      <c r="H342" s="276">
        <v>225</v>
      </c>
      <c r="I342" s="276">
        <v>169</v>
      </c>
      <c r="J342" s="276">
        <v>76</v>
      </c>
      <c r="K342" s="277">
        <v>2893</v>
      </c>
    </row>
    <row r="343" spans="2:11">
      <c r="B343" s="269" t="s">
        <v>472</v>
      </c>
      <c r="C343" s="89"/>
      <c r="D343" s="89"/>
      <c r="E343" s="89"/>
      <c r="F343" s="89"/>
      <c r="G343" s="89"/>
      <c r="H343" s="89"/>
      <c r="I343" s="89"/>
      <c r="J343" s="89"/>
      <c r="K343" s="90"/>
    </row>
    <row r="344" spans="2:11">
      <c r="B344" s="274" t="s">
        <v>347</v>
      </c>
      <c r="C344" s="89">
        <v>31</v>
      </c>
      <c r="D344" s="89">
        <v>10</v>
      </c>
      <c r="E344" s="89">
        <v>7</v>
      </c>
      <c r="F344" s="89">
        <v>2</v>
      </c>
      <c r="G344" s="89">
        <v>5</v>
      </c>
      <c r="H344" s="89">
        <v>8</v>
      </c>
      <c r="I344" s="89">
        <v>9</v>
      </c>
      <c r="J344" s="89">
        <v>2</v>
      </c>
      <c r="K344" s="90">
        <v>74</v>
      </c>
    </row>
    <row r="345" spans="2:11">
      <c r="B345" s="274" t="s">
        <v>345</v>
      </c>
      <c r="C345" s="89">
        <v>77</v>
      </c>
      <c r="D345" s="89">
        <v>1</v>
      </c>
      <c r="E345" s="89">
        <v>1</v>
      </c>
      <c r="F345" s="89">
        <v>6</v>
      </c>
      <c r="G345" s="89">
        <v>2</v>
      </c>
      <c r="H345" s="89">
        <v>1</v>
      </c>
      <c r="I345" s="89">
        <v>5</v>
      </c>
      <c r="J345" s="89">
        <v>0</v>
      </c>
      <c r="K345" s="90">
        <v>93</v>
      </c>
    </row>
    <row r="346" spans="2:11">
      <c r="B346" s="269" t="s">
        <v>471</v>
      </c>
      <c r="C346" s="276">
        <v>108</v>
      </c>
      <c r="D346" s="276">
        <v>11</v>
      </c>
      <c r="E346" s="276">
        <v>8</v>
      </c>
      <c r="F346" s="276">
        <v>8</v>
      </c>
      <c r="G346" s="276">
        <v>7</v>
      </c>
      <c r="H346" s="276">
        <v>9</v>
      </c>
      <c r="I346" s="276">
        <v>14</v>
      </c>
      <c r="J346" s="276">
        <v>2</v>
      </c>
      <c r="K346" s="277">
        <v>167</v>
      </c>
    </row>
    <row r="347" spans="2:11">
      <c r="B347" s="269" t="s">
        <v>301</v>
      </c>
      <c r="C347" s="276">
        <v>967</v>
      </c>
      <c r="D347" s="276">
        <v>485</v>
      </c>
      <c r="E347" s="276">
        <v>415</v>
      </c>
      <c r="F347" s="276">
        <v>391</v>
      </c>
      <c r="G347" s="276">
        <v>307</v>
      </c>
      <c r="H347" s="276">
        <v>234</v>
      </c>
      <c r="I347" s="276">
        <v>183</v>
      </c>
      <c r="J347" s="276">
        <v>78</v>
      </c>
      <c r="K347" s="277">
        <v>3060</v>
      </c>
    </row>
    <row r="348" spans="2:11">
      <c r="B348" s="274" t="s">
        <v>347</v>
      </c>
      <c r="C348" s="89">
        <v>327</v>
      </c>
      <c r="D348" s="89">
        <v>184</v>
      </c>
      <c r="E348" s="89">
        <v>145</v>
      </c>
      <c r="F348" s="89">
        <v>131</v>
      </c>
      <c r="G348" s="89">
        <v>103</v>
      </c>
      <c r="H348" s="89">
        <v>83</v>
      </c>
      <c r="I348" s="89">
        <v>46</v>
      </c>
      <c r="J348" s="89">
        <v>16</v>
      </c>
      <c r="K348" s="90">
        <v>1035</v>
      </c>
    </row>
    <row r="349" spans="2:11">
      <c r="B349" s="274" t="s">
        <v>345</v>
      </c>
      <c r="C349" s="89">
        <v>640</v>
      </c>
      <c r="D349" s="89">
        <v>301</v>
      </c>
      <c r="E349" s="89">
        <v>270</v>
      </c>
      <c r="F349" s="89">
        <v>260</v>
      </c>
      <c r="G349" s="89">
        <v>204</v>
      </c>
      <c r="H349" s="89">
        <v>151</v>
      </c>
      <c r="I349" s="89">
        <v>137</v>
      </c>
      <c r="J349" s="89">
        <v>62</v>
      </c>
      <c r="K349" s="90">
        <v>2025</v>
      </c>
    </row>
    <row r="350" spans="2:11">
      <c r="B350" s="226"/>
      <c r="C350" s="89"/>
      <c r="D350" s="89"/>
      <c r="E350" s="89"/>
      <c r="F350" s="89"/>
      <c r="G350" s="89"/>
      <c r="H350" s="89"/>
      <c r="I350" s="89"/>
      <c r="J350" s="89"/>
      <c r="K350" s="90"/>
    </row>
    <row r="351" spans="2:11">
      <c r="B351" s="269" t="s">
        <v>473</v>
      </c>
      <c r="C351" s="89"/>
      <c r="D351" s="89"/>
      <c r="E351" s="89"/>
      <c r="F351" s="89"/>
      <c r="G351" s="89"/>
      <c r="H351" s="89"/>
      <c r="I351" s="89"/>
      <c r="J351" s="89"/>
      <c r="K351" s="90"/>
    </row>
    <row r="352" spans="2:11">
      <c r="B352" s="226" t="s">
        <v>474</v>
      </c>
      <c r="C352" s="89">
        <v>428</v>
      </c>
      <c r="D352" s="89">
        <v>304</v>
      </c>
      <c r="E352" s="89">
        <v>279</v>
      </c>
      <c r="F352" s="89">
        <v>217</v>
      </c>
      <c r="G352" s="89">
        <v>159</v>
      </c>
      <c r="H352" s="89">
        <v>116</v>
      </c>
      <c r="I352" s="89">
        <v>87</v>
      </c>
      <c r="J352" s="89">
        <v>40</v>
      </c>
      <c r="K352" s="90">
        <v>1630</v>
      </c>
    </row>
    <row r="353" spans="2:11">
      <c r="B353" s="226" t="s">
        <v>475</v>
      </c>
      <c r="C353" s="89">
        <v>539</v>
      </c>
      <c r="D353" s="89">
        <v>181</v>
      </c>
      <c r="E353" s="89">
        <v>136</v>
      </c>
      <c r="F353" s="89">
        <v>174</v>
      </c>
      <c r="G353" s="89">
        <v>148</v>
      </c>
      <c r="H353" s="89">
        <v>118</v>
      </c>
      <c r="I353" s="89">
        <v>96</v>
      </c>
      <c r="J353" s="89">
        <v>38</v>
      </c>
      <c r="K353" s="90">
        <v>1430</v>
      </c>
    </row>
    <row r="354" spans="2:11">
      <c r="B354" s="270" t="s">
        <v>301</v>
      </c>
      <c r="C354" s="276">
        <v>967</v>
      </c>
      <c r="D354" s="276">
        <v>485</v>
      </c>
      <c r="E354" s="276">
        <v>415</v>
      </c>
      <c r="F354" s="276">
        <v>391</v>
      </c>
      <c r="G354" s="276">
        <v>307</v>
      </c>
      <c r="H354" s="276">
        <v>234</v>
      </c>
      <c r="I354" s="276">
        <v>183</v>
      </c>
      <c r="J354" s="276">
        <v>78</v>
      </c>
      <c r="K354" s="277">
        <v>3060</v>
      </c>
    </row>
    <row r="355" spans="2:11">
      <c r="B355" s="264"/>
    </row>
    <row r="356" spans="2:11">
      <c r="B356" s="264"/>
    </row>
    <row r="357" spans="2:11">
      <c r="B357" s="265" t="s">
        <v>477</v>
      </c>
    </row>
    <row r="358" spans="2:11">
      <c r="B358" s="264"/>
      <c r="K358" s="366" t="s">
        <v>439</v>
      </c>
    </row>
    <row r="359" spans="2:11" ht="36">
      <c r="B359" s="267" t="s">
        <v>262</v>
      </c>
      <c r="C359" s="266" t="s">
        <v>460</v>
      </c>
      <c r="D359" s="266" t="s">
        <v>399</v>
      </c>
      <c r="E359" s="266" t="s">
        <v>461</v>
      </c>
      <c r="F359" s="266" t="s">
        <v>462</v>
      </c>
      <c r="G359" s="266" t="s">
        <v>402</v>
      </c>
      <c r="H359" s="266" t="s">
        <v>403</v>
      </c>
      <c r="I359" s="266" t="s">
        <v>404</v>
      </c>
      <c r="J359" s="266" t="s">
        <v>463</v>
      </c>
      <c r="K359" s="268" t="s">
        <v>301</v>
      </c>
    </row>
    <row r="360" spans="2:11">
      <c r="B360" s="269" t="s">
        <v>442</v>
      </c>
      <c r="K360" s="21"/>
    </row>
    <row r="361" spans="2:11">
      <c r="B361" s="271" t="s">
        <v>297</v>
      </c>
      <c r="C361" s="89">
        <v>590</v>
      </c>
      <c r="D361" s="89">
        <v>317</v>
      </c>
      <c r="E361" s="89">
        <v>188</v>
      </c>
      <c r="F361" s="89">
        <v>217</v>
      </c>
      <c r="G361" s="89">
        <v>159</v>
      </c>
      <c r="H361" s="89">
        <v>209</v>
      </c>
      <c r="I361" s="89">
        <v>108</v>
      </c>
      <c r="J361" s="89">
        <v>17</v>
      </c>
      <c r="K361" s="90">
        <v>1805</v>
      </c>
    </row>
    <row r="362" spans="2:11">
      <c r="B362" s="271" t="s">
        <v>298</v>
      </c>
      <c r="C362" s="89">
        <v>172</v>
      </c>
      <c r="D362" s="89">
        <v>140</v>
      </c>
      <c r="E362" s="89">
        <v>67</v>
      </c>
      <c r="F362" s="89">
        <v>129</v>
      </c>
      <c r="G362" s="89">
        <v>129</v>
      </c>
      <c r="H362" s="89">
        <v>4</v>
      </c>
      <c r="I362" s="89">
        <v>74</v>
      </c>
      <c r="J362" s="89">
        <v>7</v>
      </c>
      <c r="K362" s="90">
        <v>722</v>
      </c>
    </row>
    <row r="363" spans="2:11">
      <c r="B363" s="271" t="s">
        <v>443</v>
      </c>
      <c r="C363" s="89">
        <v>48</v>
      </c>
      <c r="D363" s="89">
        <v>1</v>
      </c>
      <c r="E363" s="89">
        <v>1</v>
      </c>
      <c r="F363" s="89">
        <v>0</v>
      </c>
      <c r="G363" s="89">
        <v>3</v>
      </c>
      <c r="H363" s="89">
        <v>5</v>
      </c>
      <c r="I363" s="89">
        <v>1</v>
      </c>
      <c r="J363" s="89">
        <v>17</v>
      </c>
      <c r="K363" s="90">
        <v>76</v>
      </c>
    </row>
    <row r="364" spans="2:11">
      <c r="B364" s="271" t="s">
        <v>444</v>
      </c>
      <c r="C364" s="89">
        <v>160</v>
      </c>
      <c r="D364" s="89">
        <v>31</v>
      </c>
      <c r="E364" s="89">
        <v>99</v>
      </c>
      <c r="F364" s="89">
        <v>37</v>
      </c>
      <c r="G364" s="89">
        <v>11</v>
      </c>
      <c r="H364" s="89">
        <v>1</v>
      </c>
      <c r="I364" s="89">
        <v>4</v>
      </c>
      <c r="J364" s="89">
        <v>41</v>
      </c>
      <c r="K364" s="90">
        <v>384</v>
      </c>
    </row>
    <row r="365" spans="2:11">
      <c r="B365" s="272" t="s">
        <v>301</v>
      </c>
      <c r="C365" s="276">
        <f t="shared" ref="C365:K365" si="36">SUM(C361:C364)</f>
        <v>970</v>
      </c>
      <c r="D365" s="276">
        <f t="shared" si="36"/>
        <v>489</v>
      </c>
      <c r="E365" s="276">
        <f t="shared" si="36"/>
        <v>355</v>
      </c>
      <c r="F365" s="276">
        <f t="shared" si="36"/>
        <v>383</v>
      </c>
      <c r="G365" s="276">
        <f t="shared" si="36"/>
        <v>302</v>
      </c>
      <c r="H365" s="276">
        <f t="shared" si="36"/>
        <v>219</v>
      </c>
      <c r="I365" s="276">
        <f t="shared" si="36"/>
        <v>187</v>
      </c>
      <c r="J365" s="276">
        <f t="shared" si="36"/>
        <v>82</v>
      </c>
      <c r="K365" s="277">
        <f t="shared" si="36"/>
        <v>2987</v>
      </c>
    </row>
    <row r="366" spans="2:11">
      <c r="B366" s="226"/>
      <c r="C366" s="89"/>
      <c r="D366" s="89"/>
      <c r="E366" s="89"/>
      <c r="F366" s="89"/>
      <c r="G366" s="89"/>
      <c r="H366" s="89"/>
      <c r="I366" s="89"/>
      <c r="J366" s="89"/>
      <c r="K366" s="90"/>
    </row>
    <row r="367" spans="2:11">
      <c r="B367" s="269" t="s">
        <v>445</v>
      </c>
      <c r="C367" s="89"/>
      <c r="D367" s="89"/>
      <c r="E367" s="89"/>
      <c r="F367" s="89"/>
      <c r="G367" s="89"/>
      <c r="H367" s="89"/>
      <c r="I367" s="89"/>
      <c r="J367" s="89"/>
      <c r="K367" s="90"/>
    </row>
    <row r="368" spans="2:11">
      <c r="B368" s="273" t="s">
        <v>346</v>
      </c>
      <c r="C368" s="89"/>
      <c r="D368" s="89"/>
      <c r="E368" s="89"/>
      <c r="F368" s="89"/>
      <c r="G368" s="89"/>
      <c r="H368" s="89"/>
      <c r="I368" s="89"/>
      <c r="J368" s="89"/>
      <c r="K368" s="90"/>
    </row>
    <row r="369" spans="2:11">
      <c r="B369" s="274" t="s">
        <v>344</v>
      </c>
      <c r="C369" s="89">
        <v>274</v>
      </c>
      <c r="D369" s="89">
        <v>164</v>
      </c>
      <c r="E369" s="89">
        <v>125</v>
      </c>
      <c r="F369" s="89">
        <v>109</v>
      </c>
      <c r="G369" s="89">
        <v>85</v>
      </c>
      <c r="H369" s="89">
        <v>71</v>
      </c>
      <c r="I369" s="89">
        <v>39</v>
      </c>
      <c r="J369" s="89">
        <v>9</v>
      </c>
      <c r="K369" s="90">
        <f>SUM(C369:J369)</f>
        <v>876</v>
      </c>
    </row>
    <row r="370" spans="2:11">
      <c r="B370" s="274" t="s">
        <v>345</v>
      </c>
      <c r="C370" s="89">
        <v>581</v>
      </c>
      <c r="D370" s="89">
        <v>314</v>
      </c>
      <c r="E370" s="89">
        <v>222</v>
      </c>
      <c r="F370" s="89">
        <v>267</v>
      </c>
      <c r="G370" s="89">
        <v>209</v>
      </c>
      <c r="H370" s="89">
        <v>147</v>
      </c>
      <c r="I370" s="89">
        <v>135</v>
      </c>
      <c r="J370" s="89">
        <v>72</v>
      </c>
      <c r="K370" s="90">
        <f>SUM(C370:J370)</f>
        <v>1947</v>
      </c>
    </row>
    <row r="371" spans="2:11">
      <c r="B371" s="269" t="s">
        <v>471</v>
      </c>
      <c r="C371" s="276">
        <f t="shared" ref="C371:K371" si="37">C369+C370</f>
        <v>855</v>
      </c>
      <c r="D371" s="276">
        <f t="shared" si="37"/>
        <v>478</v>
      </c>
      <c r="E371" s="276">
        <f t="shared" si="37"/>
        <v>347</v>
      </c>
      <c r="F371" s="276">
        <f t="shared" si="37"/>
        <v>376</v>
      </c>
      <c r="G371" s="276">
        <f t="shared" si="37"/>
        <v>294</v>
      </c>
      <c r="H371" s="276">
        <f t="shared" si="37"/>
        <v>218</v>
      </c>
      <c r="I371" s="276">
        <f t="shared" si="37"/>
        <v>174</v>
      </c>
      <c r="J371" s="276">
        <f t="shared" si="37"/>
        <v>81</v>
      </c>
      <c r="K371" s="277">
        <f t="shared" si="37"/>
        <v>2823</v>
      </c>
    </row>
    <row r="372" spans="2:11">
      <c r="B372" s="269" t="s">
        <v>472</v>
      </c>
      <c r="C372" s="89"/>
      <c r="D372" s="89"/>
      <c r="E372" s="89"/>
      <c r="F372" s="89"/>
      <c r="G372" s="89"/>
      <c r="H372" s="89"/>
      <c r="I372" s="89"/>
      <c r="J372" s="89"/>
      <c r="K372" s="90"/>
    </row>
    <row r="373" spans="2:11">
      <c r="B373" s="274" t="s">
        <v>344</v>
      </c>
      <c r="C373" s="89">
        <v>32</v>
      </c>
      <c r="D373" s="89">
        <v>9</v>
      </c>
      <c r="E373" s="89">
        <v>8</v>
      </c>
      <c r="F373" s="89">
        <v>2</v>
      </c>
      <c r="G373" s="89">
        <v>5</v>
      </c>
      <c r="H373" s="89">
        <v>1</v>
      </c>
      <c r="I373" s="89">
        <v>8</v>
      </c>
      <c r="J373" s="89">
        <v>1</v>
      </c>
      <c r="K373" s="90">
        <v>66</v>
      </c>
    </row>
    <row r="374" spans="2:11">
      <c r="B374" s="274" t="s">
        <v>345</v>
      </c>
      <c r="C374" s="89">
        <v>83</v>
      </c>
      <c r="D374" s="89">
        <v>2</v>
      </c>
      <c r="E374" s="89">
        <v>0</v>
      </c>
      <c r="F374" s="89">
        <v>5</v>
      </c>
      <c r="G374" s="89">
        <v>3</v>
      </c>
      <c r="H374" s="89">
        <v>0</v>
      </c>
      <c r="I374" s="89">
        <v>5</v>
      </c>
      <c r="J374" s="89">
        <v>0</v>
      </c>
      <c r="K374" s="90">
        <v>98</v>
      </c>
    </row>
    <row r="375" spans="2:11">
      <c r="B375" s="269" t="s">
        <v>471</v>
      </c>
      <c r="C375" s="276">
        <f t="shared" ref="C375:K375" si="38">SUM(C373:C374)</f>
        <v>115</v>
      </c>
      <c r="D375" s="276">
        <f t="shared" si="38"/>
        <v>11</v>
      </c>
      <c r="E375" s="276">
        <f t="shared" si="38"/>
        <v>8</v>
      </c>
      <c r="F375" s="276">
        <f t="shared" si="38"/>
        <v>7</v>
      </c>
      <c r="G375" s="276">
        <f t="shared" si="38"/>
        <v>8</v>
      </c>
      <c r="H375" s="276">
        <f t="shared" si="38"/>
        <v>1</v>
      </c>
      <c r="I375" s="276">
        <f t="shared" si="38"/>
        <v>13</v>
      </c>
      <c r="J375" s="276">
        <f t="shared" si="38"/>
        <v>1</v>
      </c>
      <c r="K375" s="277">
        <f t="shared" si="38"/>
        <v>164</v>
      </c>
    </row>
    <row r="376" spans="2:11">
      <c r="B376" s="269" t="s">
        <v>301</v>
      </c>
      <c r="C376" s="276">
        <f t="shared" ref="C376:K376" si="39">C371+C375</f>
        <v>970</v>
      </c>
      <c r="D376" s="276">
        <f t="shared" si="39"/>
        <v>489</v>
      </c>
      <c r="E376" s="276">
        <f t="shared" si="39"/>
        <v>355</v>
      </c>
      <c r="F376" s="276">
        <f t="shared" si="39"/>
        <v>383</v>
      </c>
      <c r="G376" s="276">
        <f t="shared" si="39"/>
        <v>302</v>
      </c>
      <c r="H376" s="276">
        <f t="shared" si="39"/>
        <v>219</v>
      </c>
      <c r="I376" s="276">
        <f t="shared" si="39"/>
        <v>187</v>
      </c>
      <c r="J376" s="276">
        <f t="shared" si="39"/>
        <v>82</v>
      </c>
      <c r="K376" s="277">
        <f t="shared" si="39"/>
        <v>2987</v>
      </c>
    </row>
    <row r="377" spans="2:11">
      <c r="B377" s="274" t="s">
        <v>344</v>
      </c>
      <c r="C377" s="89">
        <f t="shared" ref="C377:K378" si="40">+C369+C373</f>
        <v>306</v>
      </c>
      <c r="D377" s="89">
        <f t="shared" si="40"/>
        <v>173</v>
      </c>
      <c r="E377" s="89">
        <f t="shared" si="40"/>
        <v>133</v>
      </c>
      <c r="F377" s="89">
        <f t="shared" si="40"/>
        <v>111</v>
      </c>
      <c r="G377" s="89">
        <f t="shared" si="40"/>
        <v>90</v>
      </c>
      <c r="H377" s="89">
        <f t="shared" si="40"/>
        <v>72</v>
      </c>
      <c r="I377" s="89">
        <f t="shared" si="40"/>
        <v>47</v>
      </c>
      <c r="J377" s="89">
        <f t="shared" si="40"/>
        <v>10</v>
      </c>
      <c r="K377" s="90">
        <f t="shared" si="40"/>
        <v>942</v>
      </c>
    </row>
    <row r="378" spans="2:11">
      <c r="B378" s="274" t="s">
        <v>345</v>
      </c>
      <c r="C378" s="89">
        <f t="shared" si="40"/>
        <v>664</v>
      </c>
      <c r="D378" s="89">
        <f t="shared" si="40"/>
        <v>316</v>
      </c>
      <c r="E378" s="89">
        <f t="shared" si="40"/>
        <v>222</v>
      </c>
      <c r="F378" s="89">
        <f t="shared" si="40"/>
        <v>272</v>
      </c>
      <c r="G378" s="89">
        <f t="shared" si="40"/>
        <v>212</v>
      </c>
      <c r="H378" s="89">
        <f t="shared" si="40"/>
        <v>147</v>
      </c>
      <c r="I378" s="89">
        <f t="shared" si="40"/>
        <v>140</v>
      </c>
      <c r="J378" s="89">
        <f t="shared" si="40"/>
        <v>72</v>
      </c>
      <c r="K378" s="90">
        <f t="shared" si="40"/>
        <v>2045</v>
      </c>
    </row>
    <row r="379" spans="2:11">
      <c r="B379" s="226"/>
      <c r="C379" s="89"/>
      <c r="D379" s="89"/>
      <c r="E379" s="89"/>
      <c r="F379" s="89"/>
      <c r="G379" s="89"/>
      <c r="H379" s="89"/>
      <c r="I379" s="89"/>
      <c r="J379" s="89"/>
      <c r="K379" s="90"/>
    </row>
    <row r="380" spans="2:11">
      <c r="B380" s="269" t="s">
        <v>473</v>
      </c>
      <c r="C380" s="89"/>
      <c r="D380" s="89"/>
      <c r="E380" s="89"/>
      <c r="F380" s="89"/>
      <c r="G380" s="89"/>
      <c r="H380" s="89"/>
      <c r="I380" s="89"/>
      <c r="J380" s="89"/>
      <c r="K380" s="90"/>
    </row>
    <row r="381" spans="2:11">
      <c r="B381" s="226" t="s">
        <v>474</v>
      </c>
      <c r="C381" s="89">
        <v>442</v>
      </c>
      <c r="D381" s="89">
        <v>309</v>
      </c>
      <c r="E381" s="89">
        <v>215</v>
      </c>
      <c r="F381" s="89">
        <v>219</v>
      </c>
      <c r="G381" s="89">
        <v>157</v>
      </c>
      <c r="H381" s="89">
        <v>110</v>
      </c>
      <c r="I381" s="89">
        <v>88</v>
      </c>
      <c r="J381" s="89">
        <v>43</v>
      </c>
      <c r="K381" s="90">
        <f>SUM(C381:J381)</f>
        <v>1583</v>
      </c>
    </row>
    <row r="382" spans="2:11">
      <c r="B382" s="226" t="s">
        <v>475</v>
      </c>
      <c r="C382" s="89">
        <v>528</v>
      </c>
      <c r="D382" s="89">
        <v>180</v>
      </c>
      <c r="E382" s="89">
        <v>140</v>
      </c>
      <c r="F382" s="89">
        <v>164</v>
      </c>
      <c r="G382" s="89">
        <v>145</v>
      </c>
      <c r="H382" s="89">
        <v>109</v>
      </c>
      <c r="I382" s="89">
        <v>99</v>
      </c>
      <c r="J382" s="89">
        <v>39</v>
      </c>
      <c r="K382" s="90">
        <f>SUM(C382:J382)</f>
        <v>1404</v>
      </c>
    </row>
    <row r="383" spans="2:11">
      <c r="B383" s="270" t="s">
        <v>301</v>
      </c>
      <c r="C383" s="276">
        <f t="shared" ref="C383:K383" si="41">SUM(C381:C382)</f>
        <v>970</v>
      </c>
      <c r="D383" s="276">
        <f t="shared" si="41"/>
        <v>489</v>
      </c>
      <c r="E383" s="276">
        <f t="shared" si="41"/>
        <v>355</v>
      </c>
      <c r="F383" s="276">
        <f t="shared" si="41"/>
        <v>383</v>
      </c>
      <c r="G383" s="276">
        <f t="shared" si="41"/>
        <v>302</v>
      </c>
      <c r="H383" s="276">
        <f t="shared" si="41"/>
        <v>219</v>
      </c>
      <c r="I383" s="276">
        <f t="shared" si="41"/>
        <v>187</v>
      </c>
      <c r="J383" s="276">
        <f t="shared" si="41"/>
        <v>82</v>
      </c>
      <c r="K383" s="277">
        <f t="shared" si="41"/>
        <v>2987</v>
      </c>
    </row>
    <row r="384" spans="2:11">
      <c r="B384" s="264"/>
    </row>
    <row r="385" spans="2:11">
      <c r="B385" s="264"/>
    </row>
    <row r="386" spans="2:11">
      <c r="B386" s="265" t="s">
        <v>478</v>
      </c>
    </row>
    <row r="387" spans="2:11">
      <c r="J387" s="391" t="s">
        <v>439</v>
      </c>
      <c r="K387" s="391"/>
    </row>
    <row r="388" spans="2:11" ht="36">
      <c r="B388" s="267" t="s">
        <v>262</v>
      </c>
      <c r="C388" s="266" t="s">
        <v>460</v>
      </c>
      <c r="D388" s="266" t="s">
        <v>399</v>
      </c>
      <c r="E388" s="266" t="s">
        <v>461</v>
      </c>
      <c r="F388" s="266" t="s">
        <v>462</v>
      </c>
      <c r="G388" s="266" t="s">
        <v>402</v>
      </c>
      <c r="H388" s="266" t="s">
        <v>403</v>
      </c>
      <c r="I388" s="266" t="s">
        <v>404</v>
      </c>
      <c r="J388" s="266" t="s">
        <v>463</v>
      </c>
      <c r="K388" s="268" t="s">
        <v>301</v>
      </c>
    </row>
    <row r="389" spans="2:11">
      <c r="B389" s="269" t="s">
        <v>442</v>
      </c>
      <c r="K389" s="21"/>
    </row>
    <row r="390" spans="2:11">
      <c r="B390" s="271" t="s">
        <v>297</v>
      </c>
      <c r="C390" s="89">
        <v>575</v>
      </c>
      <c r="D390" s="89">
        <v>317</v>
      </c>
      <c r="E390" s="89">
        <v>181</v>
      </c>
      <c r="F390" s="89">
        <v>204</v>
      </c>
      <c r="G390" s="89">
        <v>151</v>
      </c>
      <c r="H390" s="89">
        <v>209</v>
      </c>
      <c r="I390" s="89">
        <v>111</v>
      </c>
      <c r="J390" s="89">
        <v>14</v>
      </c>
      <c r="K390" s="90">
        <v>1762</v>
      </c>
    </row>
    <row r="391" spans="2:11">
      <c r="B391" s="271" t="s">
        <v>298</v>
      </c>
      <c r="C391" s="89">
        <v>176</v>
      </c>
      <c r="D391" s="89">
        <v>136</v>
      </c>
      <c r="E391" s="89">
        <v>66</v>
      </c>
      <c r="F391" s="89">
        <v>121</v>
      </c>
      <c r="G391" s="89">
        <v>122</v>
      </c>
      <c r="H391" s="89">
        <v>4</v>
      </c>
      <c r="I391" s="89">
        <v>71</v>
      </c>
      <c r="J391" s="89">
        <v>5</v>
      </c>
      <c r="K391" s="90">
        <v>701</v>
      </c>
    </row>
    <row r="392" spans="2:11">
      <c r="B392" s="271" t="s">
        <v>443</v>
      </c>
      <c r="C392" s="89">
        <v>42</v>
      </c>
      <c r="D392" s="89">
        <v>1</v>
      </c>
      <c r="E392" s="89">
        <v>1</v>
      </c>
      <c r="F392" s="89">
        <v>0</v>
      </c>
      <c r="G392" s="89">
        <v>3</v>
      </c>
      <c r="H392" s="89">
        <v>4</v>
      </c>
      <c r="I392" s="89">
        <v>1</v>
      </c>
      <c r="J392" s="89">
        <v>21</v>
      </c>
      <c r="K392" s="90">
        <v>73</v>
      </c>
    </row>
    <row r="393" spans="2:11">
      <c r="B393" s="271" t="s">
        <v>444</v>
      </c>
      <c r="C393" s="89">
        <v>149</v>
      </c>
      <c r="D393" s="89">
        <v>38</v>
      </c>
      <c r="E393" s="89">
        <v>110</v>
      </c>
      <c r="F393" s="89">
        <v>33</v>
      </c>
      <c r="G393" s="89">
        <v>6</v>
      </c>
      <c r="H393" s="89">
        <v>1</v>
      </c>
      <c r="I393" s="89">
        <v>4</v>
      </c>
      <c r="J393" s="89">
        <v>44</v>
      </c>
      <c r="K393" s="90">
        <v>385</v>
      </c>
    </row>
    <row r="394" spans="2:11">
      <c r="B394" s="272" t="s">
        <v>301</v>
      </c>
      <c r="C394" s="276">
        <v>942</v>
      </c>
      <c r="D394" s="276">
        <v>492</v>
      </c>
      <c r="E394" s="276">
        <v>358</v>
      </c>
      <c r="F394" s="276">
        <v>358</v>
      </c>
      <c r="G394" s="276">
        <v>282</v>
      </c>
      <c r="H394" s="276">
        <v>218</v>
      </c>
      <c r="I394" s="276">
        <v>187</v>
      </c>
      <c r="J394" s="276">
        <v>84</v>
      </c>
      <c r="K394" s="277">
        <v>2921</v>
      </c>
    </row>
    <row r="395" spans="2:11">
      <c r="B395" s="226"/>
      <c r="C395" s="89"/>
      <c r="D395" s="89"/>
      <c r="E395" s="89"/>
      <c r="F395" s="89"/>
      <c r="G395" s="89"/>
      <c r="H395" s="89"/>
      <c r="I395" s="89"/>
      <c r="J395" s="89"/>
      <c r="K395" s="90"/>
    </row>
    <row r="396" spans="2:11">
      <c r="B396" s="269" t="s">
        <v>445</v>
      </c>
      <c r="C396" s="89"/>
      <c r="D396" s="89"/>
      <c r="E396" s="89"/>
      <c r="F396" s="89"/>
      <c r="G396" s="89"/>
      <c r="H396" s="89"/>
      <c r="I396" s="89"/>
      <c r="J396" s="89"/>
      <c r="K396" s="90"/>
    </row>
    <row r="397" spans="2:11">
      <c r="B397" s="273" t="s">
        <v>346</v>
      </c>
      <c r="C397" s="89"/>
      <c r="D397" s="89"/>
      <c r="E397" s="89"/>
      <c r="F397" s="89"/>
      <c r="G397" s="89"/>
      <c r="H397" s="89"/>
      <c r="I397" s="89"/>
      <c r="J397" s="89"/>
      <c r="K397" s="90"/>
    </row>
    <row r="398" spans="2:11">
      <c r="B398" s="274" t="s">
        <v>344</v>
      </c>
      <c r="C398" s="89">
        <v>270</v>
      </c>
      <c r="D398" s="89">
        <v>155</v>
      </c>
      <c r="E398" s="89">
        <v>122</v>
      </c>
      <c r="F398" s="89">
        <v>96</v>
      </c>
      <c r="G398" s="89">
        <v>77</v>
      </c>
      <c r="H398" s="89">
        <v>72</v>
      </c>
      <c r="I398" s="89">
        <v>41</v>
      </c>
      <c r="J398" s="89">
        <v>12</v>
      </c>
      <c r="K398" s="90">
        <v>845</v>
      </c>
    </row>
    <row r="399" spans="2:11">
      <c r="B399" s="274" t="s">
        <v>345</v>
      </c>
      <c r="C399" s="89">
        <v>575</v>
      </c>
      <c r="D399" s="89">
        <v>321</v>
      </c>
      <c r="E399" s="89">
        <v>232</v>
      </c>
      <c r="F399" s="89">
        <v>254</v>
      </c>
      <c r="G399" s="89">
        <v>198</v>
      </c>
      <c r="H399" s="89">
        <v>144</v>
      </c>
      <c r="I399" s="89">
        <v>135</v>
      </c>
      <c r="J399" s="89">
        <v>69</v>
      </c>
      <c r="K399" s="90">
        <v>1928</v>
      </c>
    </row>
    <row r="400" spans="2:11">
      <c r="B400" s="269" t="s">
        <v>471</v>
      </c>
      <c r="C400" s="276">
        <v>845</v>
      </c>
      <c r="D400" s="276">
        <v>476</v>
      </c>
      <c r="E400" s="276">
        <v>354</v>
      </c>
      <c r="F400" s="276">
        <v>350</v>
      </c>
      <c r="G400" s="276">
        <v>275</v>
      </c>
      <c r="H400" s="276">
        <v>216</v>
      </c>
      <c r="I400" s="276">
        <v>176</v>
      </c>
      <c r="J400" s="276">
        <v>81</v>
      </c>
      <c r="K400" s="277">
        <v>2773</v>
      </c>
    </row>
    <row r="401" spans="2:11">
      <c r="B401" s="269" t="s">
        <v>472</v>
      </c>
      <c r="C401" s="89"/>
      <c r="D401" s="89"/>
      <c r="E401" s="89"/>
      <c r="F401" s="89"/>
      <c r="G401" s="89"/>
      <c r="H401" s="89"/>
      <c r="I401" s="89"/>
      <c r="J401" s="89"/>
      <c r="K401" s="90"/>
    </row>
    <row r="402" spans="2:11">
      <c r="B402" s="274" t="s">
        <v>344</v>
      </c>
      <c r="C402" s="89">
        <v>24</v>
      </c>
      <c r="D402" s="89">
        <v>14</v>
      </c>
      <c r="E402" s="89">
        <v>4</v>
      </c>
      <c r="F402" s="89">
        <v>4</v>
      </c>
      <c r="G402" s="89">
        <v>4</v>
      </c>
      <c r="H402" s="89">
        <v>2</v>
      </c>
      <c r="I402" s="89">
        <v>6</v>
      </c>
      <c r="J402" s="89">
        <v>2</v>
      </c>
      <c r="K402" s="90">
        <v>60</v>
      </c>
    </row>
    <row r="403" spans="2:11">
      <c r="B403" s="274" t="s">
        <v>345</v>
      </c>
      <c r="C403" s="89">
        <v>73</v>
      </c>
      <c r="D403" s="89">
        <v>2</v>
      </c>
      <c r="E403" s="89">
        <v>0</v>
      </c>
      <c r="F403" s="89">
        <v>4</v>
      </c>
      <c r="G403" s="89">
        <v>3</v>
      </c>
      <c r="H403" s="89">
        <v>0</v>
      </c>
      <c r="I403" s="89">
        <v>5</v>
      </c>
      <c r="J403" s="89">
        <v>1</v>
      </c>
      <c r="K403" s="90">
        <v>88</v>
      </c>
    </row>
    <row r="404" spans="2:11">
      <c r="B404" s="269" t="s">
        <v>471</v>
      </c>
      <c r="C404" s="276">
        <v>97</v>
      </c>
      <c r="D404" s="276">
        <v>16</v>
      </c>
      <c r="E404" s="276">
        <v>4</v>
      </c>
      <c r="F404" s="276">
        <v>8</v>
      </c>
      <c r="G404" s="276">
        <v>7</v>
      </c>
      <c r="H404" s="276">
        <v>2</v>
      </c>
      <c r="I404" s="276">
        <v>11</v>
      </c>
      <c r="J404" s="276">
        <v>3</v>
      </c>
      <c r="K404" s="277">
        <v>148</v>
      </c>
    </row>
    <row r="405" spans="2:11">
      <c r="B405" s="269" t="s">
        <v>301</v>
      </c>
      <c r="C405" s="276">
        <v>942</v>
      </c>
      <c r="D405" s="276">
        <v>492</v>
      </c>
      <c r="E405" s="276">
        <v>358</v>
      </c>
      <c r="F405" s="276">
        <v>358</v>
      </c>
      <c r="G405" s="276">
        <v>282</v>
      </c>
      <c r="H405" s="276">
        <v>218</v>
      </c>
      <c r="I405" s="276">
        <v>187</v>
      </c>
      <c r="J405" s="276">
        <v>84</v>
      </c>
      <c r="K405" s="277">
        <v>2921</v>
      </c>
    </row>
    <row r="406" spans="2:11">
      <c r="B406" s="274" t="s">
        <v>344</v>
      </c>
      <c r="C406" s="89">
        <v>294</v>
      </c>
      <c r="D406" s="89">
        <v>169</v>
      </c>
      <c r="E406" s="89">
        <v>126</v>
      </c>
      <c r="F406" s="89">
        <v>100</v>
      </c>
      <c r="G406" s="89">
        <v>81</v>
      </c>
      <c r="H406" s="89">
        <v>74</v>
      </c>
      <c r="I406" s="89">
        <v>47</v>
      </c>
      <c r="J406" s="89">
        <v>14</v>
      </c>
      <c r="K406" s="90">
        <v>905</v>
      </c>
    </row>
    <row r="407" spans="2:11">
      <c r="B407" s="274" t="s">
        <v>345</v>
      </c>
      <c r="C407" s="89">
        <v>648</v>
      </c>
      <c r="D407" s="89">
        <v>323</v>
      </c>
      <c r="E407" s="89">
        <v>232</v>
      </c>
      <c r="F407" s="89">
        <v>258</v>
      </c>
      <c r="G407" s="89">
        <v>201</v>
      </c>
      <c r="H407" s="89">
        <v>144</v>
      </c>
      <c r="I407" s="89">
        <v>140</v>
      </c>
      <c r="J407" s="89">
        <v>70</v>
      </c>
      <c r="K407" s="90">
        <v>2016</v>
      </c>
    </row>
    <row r="408" spans="2:11">
      <c r="B408" s="226"/>
      <c r="C408" s="89"/>
      <c r="D408" s="89"/>
      <c r="E408" s="89"/>
      <c r="F408" s="89"/>
      <c r="G408" s="89"/>
      <c r="H408" s="89"/>
      <c r="I408" s="89"/>
      <c r="J408" s="89"/>
      <c r="K408" s="90"/>
    </row>
    <row r="409" spans="2:11">
      <c r="B409" s="269" t="s">
        <v>473</v>
      </c>
      <c r="C409" s="89"/>
      <c r="D409" s="89"/>
      <c r="E409" s="89"/>
      <c r="F409" s="89"/>
      <c r="G409" s="89"/>
      <c r="H409" s="89"/>
      <c r="I409" s="89"/>
      <c r="J409" s="89"/>
      <c r="K409" s="90"/>
    </row>
    <row r="410" spans="2:11">
      <c r="B410" s="226" t="s">
        <v>474</v>
      </c>
      <c r="C410" s="89">
        <v>402</v>
      </c>
      <c r="D410" s="89">
        <v>314</v>
      </c>
      <c r="E410" s="89">
        <v>209</v>
      </c>
      <c r="F410" s="89">
        <v>213</v>
      </c>
      <c r="G410" s="89">
        <v>144</v>
      </c>
      <c r="H410" s="89">
        <v>110</v>
      </c>
      <c r="I410" s="89">
        <v>87</v>
      </c>
      <c r="J410" s="89">
        <v>40</v>
      </c>
      <c r="K410" s="90">
        <v>1519</v>
      </c>
    </row>
    <row r="411" spans="2:11">
      <c r="B411" s="226" t="s">
        <v>475</v>
      </c>
      <c r="C411" s="89">
        <v>540</v>
      </c>
      <c r="D411" s="89">
        <v>178</v>
      </c>
      <c r="E411" s="89">
        <v>149</v>
      </c>
      <c r="F411" s="89">
        <v>145</v>
      </c>
      <c r="G411" s="89">
        <v>138</v>
      </c>
      <c r="H411" s="89">
        <v>108</v>
      </c>
      <c r="I411" s="89">
        <v>100</v>
      </c>
      <c r="J411" s="89">
        <v>44</v>
      </c>
      <c r="K411" s="90">
        <v>1402</v>
      </c>
    </row>
    <row r="412" spans="2:11">
      <c r="B412" s="270" t="s">
        <v>301</v>
      </c>
      <c r="C412" s="276">
        <v>942</v>
      </c>
      <c r="D412" s="276">
        <v>492</v>
      </c>
      <c r="E412" s="276">
        <v>358</v>
      </c>
      <c r="F412" s="276">
        <v>358</v>
      </c>
      <c r="G412" s="276">
        <v>282</v>
      </c>
      <c r="H412" s="276">
        <v>218</v>
      </c>
      <c r="I412" s="276">
        <v>187</v>
      </c>
      <c r="J412" s="276">
        <v>84</v>
      </c>
      <c r="K412" s="277">
        <v>2921</v>
      </c>
    </row>
    <row r="413" spans="2:11">
      <c r="B413" s="264"/>
    </row>
    <row r="414" spans="2:11">
      <c r="B414" s="264"/>
    </row>
    <row r="416" spans="2:11">
      <c r="B416" s="265" t="s">
        <v>479</v>
      </c>
    </row>
    <row r="417" spans="2:12" ht="12.75" customHeight="1">
      <c r="J417" s="366" t="s">
        <v>439</v>
      </c>
      <c r="K417" s="366"/>
    </row>
    <row r="418" spans="2:12" ht="36">
      <c r="B418" s="267" t="s">
        <v>262</v>
      </c>
      <c r="C418" s="266" t="s">
        <v>460</v>
      </c>
      <c r="D418" s="266" t="s">
        <v>399</v>
      </c>
      <c r="E418" s="266" t="s">
        <v>461</v>
      </c>
      <c r="F418" s="266" t="s">
        <v>462</v>
      </c>
      <c r="G418" s="266" t="s">
        <v>402</v>
      </c>
      <c r="H418" s="266" t="s">
        <v>403</v>
      </c>
      <c r="I418" s="266" t="s">
        <v>404</v>
      </c>
      <c r="J418" s="266" t="s">
        <v>463</v>
      </c>
      <c r="K418" s="268" t="s">
        <v>301</v>
      </c>
    </row>
    <row r="419" spans="2:12">
      <c r="B419" s="269" t="s">
        <v>442</v>
      </c>
      <c r="K419" s="21"/>
    </row>
    <row r="420" spans="2:12">
      <c r="B420" s="271" t="s">
        <v>297</v>
      </c>
      <c r="C420" s="89">
        <v>542</v>
      </c>
      <c r="D420" s="89">
        <v>307</v>
      </c>
      <c r="E420" s="89">
        <v>177</v>
      </c>
      <c r="F420" s="89">
        <v>203</v>
      </c>
      <c r="G420" s="89">
        <v>145</v>
      </c>
      <c r="H420" s="89">
        <v>203</v>
      </c>
      <c r="I420" s="89">
        <v>110</v>
      </c>
      <c r="J420" s="89">
        <v>12</v>
      </c>
      <c r="K420" s="90">
        <f>SUM(C420:J420)</f>
        <v>1699</v>
      </c>
    </row>
    <row r="421" spans="2:12">
      <c r="B421" s="271" t="s">
        <v>298</v>
      </c>
      <c r="C421" s="89">
        <v>172</v>
      </c>
      <c r="D421" s="89">
        <v>132</v>
      </c>
      <c r="E421" s="89">
        <v>71</v>
      </c>
      <c r="F421" s="89">
        <v>117</v>
      </c>
      <c r="G421" s="89">
        <v>118</v>
      </c>
      <c r="H421" s="89">
        <v>2</v>
      </c>
      <c r="I421" s="89">
        <v>72</v>
      </c>
      <c r="J421" s="89">
        <v>5</v>
      </c>
      <c r="K421" s="90">
        <f>SUM(C421:J421)</f>
        <v>689</v>
      </c>
    </row>
    <row r="422" spans="2:12">
      <c r="B422" s="271" t="s">
        <v>300</v>
      </c>
      <c r="C422" s="89">
        <v>41</v>
      </c>
      <c r="D422" s="89">
        <v>1</v>
      </c>
      <c r="E422" s="89">
        <v>2</v>
      </c>
      <c r="F422" s="89">
        <v>0</v>
      </c>
      <c r="G422" s="89">
        <v>3</v>
      </c>
      <c r="H422" s="89">
        <v>5</v>
      </c>
      <c r="I422" s="89">
        <v>0</v>
      </c>
      <c r="J422" s="89">
        <v>21</v>
      </c>
      <c r="K422" s="90">
        <f>SUM(C422:J422)</f>
        <v>73</v>
      </c>
    </row>
    <row r="423" spans="2:12">
      <c r="B423" s="271" t="s">
        <v>299</v>
      </c>
      <c r="C423" s="89">
        <v>144</v>
      </c>
      <c r="D423" s="89">
        <v>29</v>
      </c>
      <c r="E423" s="89">
        <v>110</v>
      </c>
      <c r="F423" s="89">
        <v>31</v>
      </c>
      <c r="G423" s="89">
        <v>6</v>
      </c>
      <c r="H423" s="89">
        <v>1</v>
      </c>
      <c r="I423" s="89">
        <v>4</v>
      </c>
      <c r="J423" s="89">
        <v>45</v>
      </c>
      <c r="K423" s="90">
        <f>SUM(C423:J423)</f>
        <v>370</v>
      </c>
    </row>
    <row r="424" spans="2:12">
      <c r="B424" s="272" t="s">
        <v>301</v>
      </c>
      <c r="C424" s="276">
        <f>SUM(C420:C423)</f>
        <v>899</v>
      </c>
      <c r="D424" s="276">
        <f t="shared" ref="D424:K424" si="42">SUM(D420:D423)</f>
        <v>469</v>
      </c>
      <c r="E424" s="276">
        <f t="shared" si="42"/>
        <v>360</v>
      </c>
      <c r="F424" s="276">
        <f t="shared" si="42"/>
        <v>351</v>
      </c>
      <c r="G424" s="276">
        <f t="shared" si="42"/>
        <v>272</v>
      </c>
      <c r="H424" s="276">
        <f t="shared" si="42"/>
        <v>211</v>
      </c>
      <c r="I424" s="276">
        <f t="shared" si="42"/>
        <v>186</v>
      </c>
      <c r="J424" s="276">
        <f t="shared" si="42"/>
        <v>83</v>
      </c>
      <c r="K424" s="277">
        <f t="shared" si="42"/>
        <v>2831</v>
      </c>
    </row>
    <row r="425" spans="2:12">
      <c r="B425" s="226"/>
      <c r="C425" s="89"/>
      <c r="D425" s="89"/>
      <c r="E425" s="89"/>
      <c r="F425" s="89"/>
      <c r="G425" s="89"/>
      <c r="H425" s="89"/>
      <c r="I425" s="89"/>
      <c r="J425" s="89"/>
      <c r="K425" s="90"/>
    </row>
    <row r="426" spans="2:12">
      <c r="B426" s="269" t="s">
        <v>445</v>
      </c>
      <c r="C426" s="89"/>
      <c r="D426" s="89"/>
      <c r="E426" s="89"/>
      <c r="F426" s="89"/>
      <c r="G426" s="89"/>
      <c r="H426" s="89"/>
      <c r="I426" s="89"/>
      <c r="J426" s="89"/>
      <c r="K426" s="90"/>
    </row>
    <row r="427" spans="2:12">
      <c r="B427" s="273" t="s">
        <v>346</v>
      </c>
      <c r="C427" s="89"/>
      <c r="D427" s="89"/>
      <c r="E427" s="89"/>
      <c r="F427" s="89"/>
      <c r="G427" s="89"/>
      <c r="H427" s="89"/>
      <c r="I427" s="89"/>
      <c r="J427" s="89"/>
      <c r="K427" s="90"/>
    </row>
    <row r="428" spans="2:12">
      <c r="B428" s="274" t="s">
        <v>347</v>
      </c>
      <c r="C428" s="89">
        <v>236</v>
      </c>
      <c r="D428" s="89">
        <v>137</v>
      </c>
      <c r="E428" s="89">
        <v>106</v>
      </c>
      <c r="F428" s="89">
        <v>93</v>
      </c>
      <c r="G428" s="89">
        <v>67</v>
      </c>
      <c r="H428" s="89">
        <v>67</v>
      </c>
      <c r="I428" s="89">
        <v>39</v>
      </c>
      <c r="J428" s="89">
        <v>9</v>
      </c>
      <c r="K428" s="90">
        <f>SUM(C428:J428)</f>
        <v>754</v>
      </c>
    </row>
    <row r="429" spans="2:12">
      <c r="B429" s="274" t="s">
        <v>345</v>
      </c>
      <c r="C429" s="89">
        <v>574</v>
      </c>
      <c r="D429" s="89">
        <v>320</v>
      </c>
      <c r="E429" s="89">
        <v>248</v>
      </c>
      <c r="F429" s="89">
        <v>251</v>
      </c>
      <c r="G429" s="89">
        <v>196</v>
      </c>
      <c r="H429" s="89">
        <v>143</v>
      </c>
      <c r="I429" s="89">
        <v>137</v>
      </c>
      <c r="J429" s="89">
        <v>72</v>
      </c>
      <c r="K429" s="90">
        <f>SUM(C429:J429)</f>
        <v>1941</v>
      </c>
    </row>
    <row r="430" spans="2:12">
      <c r="B430" s="269" t="s">
        <v>471</v>
      </c>
      <c r="C430" s="276">
        <f>SUM(C428:C429)</f>
        <v>810</v>
      </c>
      <c r="D430" s="276">
        <f t="shared" ref="D430:K430" si="43">SUM(D428:D429)</f>
        <v>457</v>
      </c>
      <c r="E430" s="276">
        <f t="shared" si="43"/>
        <v>354</v>
      </c>
      <c r="F430" s="276">
        <f t="shared" si="43"/>
        <v>344</v>
      </c>
      <c r="G430" s="276">
        <f t="shared" si="43"/>
        <v>263</v>
      </c>
      <c r="H430" s="276">
        <f t="shared" si="43"/>
        <v>210</v>
      </c>
      <c r="I430" s="276">
        <f t="shared" si="43"/>
        <v>176</v>
      </c>
      <c r="J430" s="276">
        <f t="shared" si="43"/>
        <v>81</v>
      </c>
      <c r="K430" s="277">
        <f t="shared" si="43"/>
        <v>2695</v>
      </c>
    </row>
    <row r="431" spans="2:12">
      <c r="B431" s="269" t="s">
        <v>472</v>
      </c>
      <c r="C431" s="89"/>
      <c r="D431" s="89"/>
      <c r="E431" s="89"/>
      <c r="F431" s="89"/>
      <c r="G431" s="89"/>
      <c r="H431" s="89"/>
      <c r="I431" s="89"/>
      <c r="J431" s="89"/>
      <c r="K431" s="90"/>
    </row>
    <row r="432" spans="2:12">
      <c r="B432" s="274" t="s">
        <v>347</v>
      </c>
      <c r="C432" s="89">
        <v>17</v>
      </c>
      <c r="D432" s="89">
        <v>10</v>
      </c>
      <c r="E432" s="89">
        <v>6</v>
      </c>
      <c r="F432" s="89">
        <v>2</v>
      </c>
      <c r="G432" s="89">
        <v>6</v>
      </c>
      <c r="H432" s="89">
        <v>1</v>
      </c>
      <c r="I432" s="89">
        <v>6</v>
      </c>
      <c r="J432" s="89">
        <v>1</v>
      </c>
      <c r="K432" s="90">
        <f>SUM(C432:J432)</f>
        <v>49</v>
      </c>
      <c r="L432" s="101"/>
    </row>
    <row r="433" spans="2:11">
      <c r="B433" s="274" t="s">
        <v>345</v>
      </c>
      <c r="C433" s="89">
        <v>72</v>
      </c>
      <c r="D433" s="89">
        <v>2</v>
      </c>
      <c r="E433" s="89">
        <v>0</v>
      </c>
      <c r="F433" s="89">
        <v>5</v>
      </c>
      <c r="G433" s="89">
        <v>3</v>
      </c>
      <c r="H433" s="89">
        <v>0</v>
      </c>
      <c r="I433" s="89">
        <v>4</v>
      </c>
      <c r="J433" s="89">
        <v>1</v>
      </c>
      <c r="K433" s="90">
        <f>SUM(C433:J433)</f>
        <v>87</v>
      </c>
    </row>
    <row r="434" spans="2:11">
      <c r="B434" s="269" t="s">
        <v>471</v>
      </c>
      <c r="C434" s="276">
        <f>SUM(C432:C433)</f>
        <v>89</v>
      </c>
      <c r="D434" s="276">
        <f t="shared" ref="D434:K434" si="44">SUM(D432:D433)</f>
        <v>12</v>
      </c>
      <c r="E434" s="276">
        <f t="shared" si="44"/>
        <v>6</v>
      </c>
      <c r="F434" s="276">
        <f t="shared" si="44"/>
        <v>7</v>
      </c>
      <c r="G434" s="276">
        <f t="shared" si="44"/>
        <v>9</v>
      </c>
      <c r="H434" s="276">
        <f t="shared" si="44"/>
        <v>1</v>
      </c>
      <c r="I434" s="276">
        <f t="shared" si="44"/>
        <v>10</v>
      </c>
      <c r="J434" s="276">
        <f t="shared" si="44"/>
        <v>2</v>
      </c>
      <c r="K434" s="277">
        <f t="shared" si="44"/>
        <v>136</v>
      </c>
    </row>
    <row r="435" spans="2:11">
      <c r="B435" s="269" t="s">
        <v>301</v>
      </c>
      <c r="C435" s="276">
        <f>C430+C434</f>
        <v>899</v>
      </c>
      <c r="D435" s="276">
        <f t="shared" ref="D435:J435" si="45">D430+D434</f>
        <v>469</v>
      </c>
      <c r="E435" s="276">
        <f t="shared" si="45"/>
        <v>360</v>
      </c>
      <c r="F435" s="276">
        <f t="shared" si="45"/>
        <v>351</v>
      </c>
      <c r="G435" s="276">
        <f t="shared" si="45"/>
        <v>272</v>
      </c>
      <c r="H435" s="276">
        <f t="shared" si="45"/>
        <v>211</v>
      </c>
      <c r="I435" s="276">
        <f t="shared" si="45"/>
        <v>186</v>
      </c>
      <c r="J435" s="276">
        <f t="shared" si="45"/>
        <v>83</v>
      </c>
      <c r="K435" s="277">
        <f>K430+K434</f>
        <v>2831</v>
      </c>
    </row>
    <row r="436" spans="2:11">
      <c r="B436" s="274" t="s">
        <v>347</v>
      </c>
      <c r="C436" s="89">
        <f>C432+C428</f>
        <v>253</v>
      </c>
      <c r="D436" s="89">
        <f t="shared" ref="D436:K436" si="46">D432+D428</f>
        <v>147</v>
      </c>
      <c r="E436" s="89">
        <f t="shared" si="46"/>
        <v>112</v>
      </c>
      <c r="F436" s="89">
        <f t="shared" si="46"/>
        <v>95</v>
      </c>
      <c r="G436" s="89">
        <f t="shared" si="46"/>
        <v>73</v>
      </c>
      <c r="H436" s="89">
        <f t="shared" si="46"/>
        <v>68</v>
      </c>
      <c r="I436" s="89">
        <f t="shared" si="46"/>
        <v>45</v>
      </c>
      <c r="J436" s="89">
        <f t="shared" si="46"/>
        <v>10</v>
      </c>
      <c r="K436" s="90">
        <f t="shared" si="46"/>
        <v>803</v>
      </c>
    </row>
    <row r="437" spans="2:11">
      <c r="B437" s="274" t="s">
        <v>345</v>
      </c>
      <c r="C437" s="89">
        <f>C433+C429</f>
        <v>646</v>
      </c>
      <c r="D437" s="89">
        <f t="shared" ref="D437:J437" si="47">D433+D429</f>
        <v>322</v>
      </c>
      <c r="E437" s="89">
        <f t="shared" si="47"/>
        <v>248</v>
      </c>
      <c r="F437" s="89">
        <f t="shared" si="47"/>
        <v>256</v>
      </c>
      <c r="G437" s="89">
        <f t="shared" si="47"/>
        <v>199</v>
      </c>
      <c r="H437" s="89">
        <f t="shared" si="47"/>
        <v>143</v>
      </c>
      <c r="I437" s="89">
        <f t="shared" si="47"/>
        <v>141</v>
      </c>
      <c r="J437" s="89">
        <f t="shared" si="47"/>
        <v>73</v>
      </c>
      <c r="K437" s="90">
        <f>K433+K429</f>
        <v>2028</v>
      </c>
    </row>
    <row r="438" spans="2:11">
      <c r="B438" s="226"/>
      <c r="C438" s="89"/>
      <c r="D438" s="89"/>
      <c r="E438" s="89"/>
      <c r="F438" s="89"/>
      <c r="G438" s="89"/>
      <c r="H438" s="89"/>
      <c r="I438" s="89"/>
      <c r="J438" s="89"/>
      <c r="K438" s="90"/>
    </row>
    <row r="439" spans="2:11">
      <c r="B439" s="269" t="s">
        <v>473</v>
      </c>
      <c r="C439" s="89"/>
      <c r="D439" s="89"/>
      <c r="E439" s="89"/>
      <c r="F439" s="89"/>
      <c r="G439" s="89"/>
      <c r="H439" s="89"/>
      <c r="I439" s="89"/>
      <c r="J439" s="89"/>
      <c r="K439" s="90"/>
    </row>
    <row r="440" spans="2:11">
      <c r="B440" s="226" t="s">
        <v>474</v>
      </c>
      <c r="C440" s="89">
        <v>383</v>
      </c>
      <c r="D440" s="89">
        <v>296</v>
      </c>
      <c r="E440" s="89">
        <v>200</v>
      </c>
      <c r="F440" s="89">
        <v>212</v>
      </c>
      <c r="G440" s="89">
        <v>136</v>
      </c>
      <c r="H440" s="89">
        <v>114</v>
      </c>
      <c r="I440" s="89">
        <v>86</v>
      </c>
      <c r="J440" s="89">
        <v>39</v>
      </c>
      <c r="K440" s="90">
        <f>SUM(C440:J440)</f>
        <v>1466</v>
      </c>
    </row>
    <row r="441" spans="2:11">
      <c r="B441" s="226" t="s">
        <v>475</v>
      </c>
      <c r="C441" s="89">
        <v>516</v>
      </c>
      <c r="D441" s="89">
        <v>173</v>
      </c>
      <c r="E441" s="89">
        <v>160</v>
      </c>
      <c r="F441" s="89">
        <v>139</v>
      </c>
      <c r="G441" s="89">
        <v>136</v>
      </c>
      <c r="H441" s="89">
        <v>97</v>
      </c>
      <c r="I441" s="89">
        <v>100</v>
      </c>
      <c r="J441" s="89">
        <v>44</v>
      </c>
      <c r="K441" s="90">
        <f>SUM(C441:J441)</f>
        <v>1365</v>
      </c>
    </row>
    <row r="442" spans="2:11">
      <c r="B442" s="270" t="s">
        <v>301</v>
      </c>
      <c r="C442" s="276">
        <f>SUM(C440:C441)</f>
        <v>899</v>
      </c>
      <c r="D442" s="276">
        <f t="shared" ref="D442:J442" si="48">SUM(D440:D441)</f>
        <v>469</v>
      </c>
      <c r="E442" s="276">
        <f t="shared" si="48"/>
        <v>360</v>
      </c>
      <c r="F442" s="276">
        <f t="shared" si="48"/>
        <v>351</v>
      </c>
      <c r="G442" s="276">
        <f t="shared" si="48"/>
        <v>272</v>
      </c>
      <c r="H442" s="276">
        <f t="shared" si="48"/>
        <v>211</v>
      </c>
      <c r="I442" s="276">
        <f t="shared" si="48"/>
        <v>186</v>
      </c>
      <c r="J442" s="276">
        <f t="shared" si="48"/>
        <v>83</v>
      </c>
      <c r="K442" s="277">
        <f>SUM(K440:K441)</f>
        <v>2831</v>
      </c>
    </row>
  </sheetData>
  <pageMargins left="0.34" right="0.23" top="0.75" bottom="0.75" header="0.3" footer="0.3"/>
  <pageSetup paperSize="9" scale="74" fitToHeight="0" orientation="portrait" horizontalDpi="90" verticalDpi="90" r:id="rId1"/>
  <headerFooter alignWithMargins="0"/>
  <customProperties>
    <customPr name="_pios_id" r:id="rId2"/>
    <customPr name="EpmWorksheetKeyString_GUID" r:id="rId3"/>
  </customProperties>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010E191680BA4BB0184C7888F4B06A" ma:contentTypeVersion="10" ma:contentTypeDescription="Create a new document." ma:contentTypeScope="" ma:versionID="43b574d3a13e1d7a6c721bc83b49ba6f">
  <xsd:schema xmlns:xsd="http://www.w3.org/2001/XMLSchema" xmlns:xs="http://www.w3.org/2001/XMLSchema" xmlns:p="http://schemas.microsoft.com/office/2006/metadata/properties" xmlns:ns3="99844b84-f886-4395-8a8e-b23c6ccd7aee" xmlns:ns4="aefd3ae4-0d21-4bae-b7e2-cdcf697de92e" targetNamespace="http://schemas.microsoft.com/office/2006/metadata/properties" ma:root="true" ma:fieldsID="900517d276b6971d93434ba49e5e32b1" ns3:_="" ns4:_="">
    <xsd:import namespace="99844b84-f886-4395-8a8e-b23c6ccd7aee"/>
    <xsd:import namespace="aefd3ae4-0d21-4bae-b7e2-cdcf697de92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44b84-f886-4395-8a8e-b23c6ccd7a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fd3ae4-0d21-4bae-b7e2-cdcf697de92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7777377-3236-42EF-BF6B-7FF9BCD43B69}">
  <ds:schemaRefs>
    <ds:schemaRef ds:uri="http://schemas.microsoft.com/sharepoint/v3/contenttype/forms"/>
  </ds:schemaRefs>
</ds:datastoreItem>
</file>

<file path=customXml/itemProps2.xml><?xml version="1.0" encoding="utf-8"?>
<ds:datastoreItem xmlns:ds="http://schemas.openxmlformats.org/officeDocument/2006/customXml" ds:itemID="{A27739B7-7BBA-4AAC-9C4B-13980B2A9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44b84-f886-4395-8a8e-b23c6ccd7aee"/>
    <ds:schemaRef ds:uri="aefd3ae4-0d21-4bae-b7e2-cdcf697de9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0F9A07-F2E9-4DB6-8CAC-7690D9BE2643}">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aefd3ae4-0d21-4bae-b7e2-cdcf697de92e"/>
    <ds:schemaRef ds:uri="http://www.w3.org/XML/1998/namespace"/>
    <ds:schemaRef ds:uri="http://schemas.microsoft.com/office/2006/metadata/properties"/>
    <ds:schemaRef ds:uri="http://schemas.openxmlformats.org/package/2006/metadata/core-properties"/>
    <ds:schemaRef ds:uri="99844b84-f886-4395-8a8e-b23c6ccd7aee"/>
  </ds:schemaRefs>
</ds:datastoreItem>
</file>

<file path=customXml/itemProps4.xml><?xml version="1.0" encoding="utf-8"?>
<ds:datastoreItem xmlns:ds="http://schemas.openxmlformats.org/officeDocument/2006/customXml" ds:itemID="{3DB4FA76-4CEB-4897-970F-786139D3B90F}">
  <ds:schemaRefs>
    <ds:schemaRef ds:uri="http://schemas.microsoft.com/office/2006/metadata/longProperties"/>
  </ds:schemaRefs>
</ds:datastoreItem>
</file>

<file path=docMetadata/LabelInfo.xml><?xml version="1.0" encoding="utf-8"?>
<clbl:labelList xmlns:clbl="http://schemas.microsoft.com/office/2020/mipLabelMetadata">
  <clbl:label id="{a0819fa7-4367-4500-ba88-dd630d977609}" enabled="1" method="Standard" siteId="{63ce7d59-2f3e-42cd-a8cc-be764cff5eb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Index</vt:lpstr>
      <vt:lpstr>1 INR- Consol Profit Loss</vt:lpstr>
      <vt:lpstr>2 INR - Consol Balance Sheet</vt:lpstr>
      <vt:lpstr>3 INR - Consol Cash flow</vt:lpstr>
      <vt:lpstr>4 USD - Consol Profit Loss</vt:lpstr>
      <vt:lpstr>5 USD - Consol Balance Sheet</vt:lpstr>
      <vt:lpstr>6 USD - Consol Cash flow</vt:lpstr>
      <vt:lpstr>7 Operating Metrics</vt:lpstr>
      <vt:lpstr>Disaggregate Revenue</vt:lpstr>
      <vt:lpstr>_01_INR_Consolidated</vt:lpstr>
      <vt:lpstr>'1 INR- Consol Profit Loss'!Print_Area</vt:lpstr>
      <vt:lpstr>'2 INR - Consol Balance Sheet'!Print_Area</vt:lpstr>
      <vt:lpstr>'3 INR - Consol Cash flow'!Print_Area</vt:lpstr>
      <vt:lpstr>'4 USD - Consol Profit Loss'!Print_Area</vt:lpstr>
      <vt:lpstr>'5 USD - Consol Balance Sheet'!Print_Area</vt:lpstr>
      <vt:lpstr>'6 USD - Consol Cash flow'!Print_Area</vt:lpstr>
      <vt:lpstr>'7 Operating Metrics'!Print_Area</vt:lpstr>
      <vt:lpstr>'Disaggregate Revenue'!Print_Area</vt:lpstr>
      <vt:lpstr>Index!Print_Area</vt:lpstr>
      <vt:lpstr>'3 INR - Consol Cash flow'!Print_Titles</vt:lpstr>
      <vt:lpstr>'7 Operating Metrics'!Print_Titles</vt:lpstr>
    </vt:vector>
  </TitlesOfParts>
  <Manager/>
  <Company>Infosys Technologies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Sheet</dc:title>
  <dc:subject>Historical datasheet for Investors</dc:subject>
  <dc:creator>Infosys Limited</dc:creator>
  <cp:keywords/>
  <dc:description/>
  <cp:lastModifiedBy>Sweta Sheth</cp:lastModifiedBy>
  <cp:revision/>
  <cp:lastPrinted>2026-07-23T09:52:40Z</cp:lastPrinted>
  <dcterms:created xsi:type="dcterms:W3CDTF">1999-07-26T03:35:26Z</dcterms:created>
  <dcterms:modified xsi:type="dcterms:W3CDTF">2026-10-23T09:58:25Z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SYS_DOCUMENT_TITLE">
    <vt:lpwstr/>
  </property>
  <property fmtid="{D5CDD505-2E9C-101B-9397-08002B2CF9AE}" pid="3" name="INFOSYS_DEPENDENCY_CHECK_OK_TO_DELETE">
    <vt:lpwstr>No</vt:lpwstr>
  </property>
  <property fmtid="{D5CDD505-2E9C-101B-9397-08002B2CF9AE}" pid="4" name="INFOSYS_ARTICLE_TAG2">
    <vt:lpwstr/>
  </property>
  <property fmtid="{D5CDD505-2E9C-101B-9397-08002B2CF9AE}" pid="5" name="INFOSYS_ARTICLE_TAG7">
    <vt:lpwstr/>
  </property>
  <property fmtid="{D5CDD505-2E9C-101B-9397-08002B2CF9AE}" pid="6" name="INFOSYS_INTERNAL_METATAG1">
    <vt:lpwstr/>
  </property>
  <property fmtid="{D5CDD505-2E9C-101B-9397-08002B2CF9AE}" pid="7" name="INFOSYS_SHORT_DESCRIPTION">
    <vt:lpwstr/>
  </property>
  <property fmtid="{D5CDD505-2E9C-101B-9397-08002B2CF9AE}" pid="8" name="INFOSYS_ARTICLE_TAG1">
    <vt:lpwstr/>
  </property>
  <property fmtid="{D5CDD505-2E9C-101B-9397-08002B2CF9AE}" pid="9" name="INFOSYS_ARTICLE_TAG6">
    <vt:lpwstr/>
  </property>
  <property fmtid="{D5CDD505-2E9C-101B-9397-08002B2CF9AE}" pid="10" name="INFOSYS_ARTICLE_TAG5">
    <vt:lpwstr/>
  </property>
  <property fmtid="{D5CDD505-2E9C-101B-9397-08002B2CF9AE}" pid="11" name="PublishingExpirationDate">
    <vt:lpwstr/>
  </property>
  <property fmtid="{D5CDD505-2E9C-101B-9397-08002B2CF9AE}" pid="12" name="INFOSYS_ARTICLE_TAG4">
    <vt:lpwstr/>
  </property>
  <property fmtid="{D5CDD505-2E9C-101B-9397-08002B2CF9AE}" pid="13" name="INFOSYS_ARTICLE_TAG9">
    <vt:lpwstr/>
  </property>
  <property fmtid="{D5CDD505-2E9C-101B-9397-08002B2CF9AE}" pid="14" name="INFOSYS_ARTICLE_TAG10">
    <vt:lpwstr/>
  </property>
  <property fmtid="{D5CDD505-2E9C-101B-9397-08002B2CF9AE}" pid="15" name="INFOSYS_ABSTRACT_DATA">
    <vt:lpwstr/>
  </property>
  <property fmtid="{D5CDD505-2E9C-101B-9397-08002B2CF9AE}" pid="16" name="PublishingStartDate">
    <vt:lpwstr/>
  </property>
  <property fmtid="{D5CDD505-2E9C-101B-9397-08002B2CF9AE}" pid="17" name="INFOSYS_PREFERENCES_TAG">
    <vt:lpwstr/>
  </property>
  <property fmtid="{D5CDD505-2E9C-101B-9397-08002B2CF9AE}" pid="18" name="INFOSYS_IS_ARCHIVED">
    <vt:lpwstr>0</vt:lpwstr>
  </property>
  <property fmtid="{D5CDD505-2E9C-101B-9397-08002B2CF9AE}" pid="19" name="INFOSYS_ARTICLE_MEDIA_CATEGORY">
    <vt:lpwstr/>
  </property>
  <property fmtid="{D5CDD505-2E9C-101B-9397-08002B2CF9AE}" pid="20" name="INFOSYS_DOCUMENT_TYPE">
    <vt:lpwstr>3</vt:lpwstr>
  </property>
  <property fmtid="{D5CDD505-2E9C-101B-9397-08002B2CF9AE}" pid="21" name="INFOSYS_ARTICLE_TAG3">
    <vt:lpwstr/>
  </property>
  <property fmtid="{D5CDD505-2E9C-101B-9397-08002B2CF9AE}" pid="22" name="INFOSYS_ARTICLE_TAG8">
    <vt:lpwstr/>
  </property>
  <property fmtid="{D5CDD505-2E9C-101B-9397-08002B2CF9AE}" pid="23" name="INFOSYS_INDUSTRY_TAG">
    <vt:lpwstr/>
  </property>
  <property fmtid="{D5CDD505-2E9C-101B-9397-08002B2CF9AE}" pid="24" name="ContentTypeId">
    <vt:lpwstr>0x010100FE010E191680BA4BB0184C7888F4B06A</vt:lpwstr>
  </property>
</Properties>
</file>