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75" yWindow="405" windowWidth="7650" windowHeight="9075" activeTab="0"/>
  </bookViews>
  <sheets>
    <sheet name="Qtly Inc Stmt - Fin Yr" sheetId="1" r:id="rId1"/>
  </sheets>
  <definedNames>
    <definedName name="_xlnm.Print_Area" localSheetId="0">'Qtly Inc Stmt - Fin Yr'!$A$1:$Z$44</definedName>
  </definedNames>
  <calcPr fullCalcOnLoad="1"/>
</workbook>
</file>

<file path=xl/sharedStrings.xml><?xml version="1.0" encoding="utf-8"?>
<sst xmlns="http://schemas.openxmlformats.org/spreadsheetml/2006/main" count="50" uniqueCount="31">
  <si>
    <t>Revenue</t>
  </si>
  <si>
    <t>Cost of revenues</t>
  </si>
  <si>
    <t>Gross profit</t>
  </si>
  <si>
    <t>Selling, general and administrative expenses</t>
  </si>
  <si>
    <t>Amortization of deferred stock compensation expense</t>
  </si>
  <si>
    <t>Compensation arising from stock split</t>
  </si>
  <si>
    <t>Total operating expenses</t>
  </si>
  <si>
    <t>Operating income</t>
  </si>
  <si>
    <t>Equity in loss of deconsolidated subsidiary</t>
  </si>
  <si>
    <t>Other income, net</t>
  </si>
  <si>
    <t>Income before income taxes</t>
  </si>
  <si>
    <t>Provision for income taxes</t>
  </si>
  <si>
    <t>Preferred stock dividends</t>
  </si>
  <si>
    <t>Net income</t>
  </si>
  <si>
    <t>Basic</t>
  </si>
  <si>
    <t>Diluted</t>
  </si>
  <si>
    <t>Weighted equity shares used in computing</t>
  </si>
  <si>
    <t>Q1</t>
  </si>
  <si>
    <t>Q2</t>
  </si>
  <si>
    <t>Q3</t>
  </si>
  <si>
    <t>Q4</t>
  </si>
  <si>
    <t>FY1997</t>
  </si>
  <si>
    <t>FY1998</t>
  </si>
  <si>
    <t>FY1999</t>
  </si>
  <si>
    <t>FY1996</t>
  </si>
  <si>
    <t>Infosys Technologies Limited</t>
  </si>
  <si>
    <t>Operating Expenses</t>
  </si>
  <si>
    <t>Quarterly financial data (unaudited)</t>
  </si>
  <si>
    <t>Earnings Per American Depositary Share</t>
  </si>
  <si>
    <t>Earnings per Amercan Depositary Share</t>
  </si>
  <si>
    <t>FY2000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</si>
</sst>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\ \ \ ;\(&quot;$&quot;#,##0.00\)\ \ \ "/>
    <numFmt numFmtId="165" formatCode="&quot;$&quot;#,##0.00&quot;*&quot;\ \ ;\(&quot;$&quot;#,##0.00\)&quot;*&quot;\ \ "/>
    <numFmt numFmtId="166" formatCode="&quot;$&quot;#,##0.00\A_)\ ;\(&quot;$&quot;#,##0.00\A\)\ \ "/>
    <numFmt numFmtId="167" formatCode="&quot;$&quot;@\ "/>
    <numFmt numFmtId="168" formatCode="0.000000%"/>
    <numFmt numFmtId="169" formatCode="_-* #,##0_-;\-* #,##0_-;_-* &quot;-&quot;_-;_-@_-"/>
    <numFmt numFmtId="170" formatCode="&quot;$&quot;#,##0.00\ &quot;A&quot;\ \ \ \ \ ;\(&quot;$&quot;#,##0.00\)\ \ \ \ \ "/>
    <numFmt numFmtId="171" formatCode="&quot;$&quot;#,##0;\-&quot;$&quot;#,##0"/>
    <numFmt numFmtId="172" formatCode="_(&quot;$&quot;* #,##0.00000_);_(&quot;$&quot;* \(#,##0.00000\);_(&quot;$&quot;* &quot;-&quot;??_);_(@_)"/>
    <numFmt numFmtId="173" formatCode="&quot;$&quot;#,##0;[Red]\-&quot;$&quot;#,##0"/>
    <numFmt numFmtId="174" formatCode="&quot;$&quot;#,##0;\(&quot;$&quot;#,##0\)"/>
    <numFmt numFmtId="175" formatCode="_-* #,##0.00_-;\-* #,##0.00_-;_-* &quot;-&quot;??_-;_-@_-"/>
    <numFmt numFmtId="176" formatCode="_-&quot;$&quot;* #,##0.00_-;\-&quot;$&quot;* #,##0.00_-;_-&quot;$&quot;* &quot;-&quot;??_-;_-@_-"/>
    <numFmt numFmtId="177" formatCode="&quot;$&quot;#,##0.00\ &quot;A&quot;\ \ ;\(&quot;$&quot;#,##0.00\)\ \ \ \ \ "/>
    <numFmt numFmtId="178" formatCode="_(&quot;$&quot;* #,##0.0000000_);_(&quot;$&quot;* \(#,##0.0000000\);_(&quot;$&quot;* &quot;-&quot;??_);_(@_)"/>
    <numFmt numFmtId="179" formatCode="&quot;$&quot;#,##0.00;\-&quot;$&quot;#,##0.00"/>
    <numFmt numFmtId="180" formatCode="&quot;$&quot;#,##0.00;[Red]\-&quot;$&quot;#,##0.00"/>
    <numFmt numFmtId="181" formatCode="&quot;$&quot;#,##0.000;\(&quot;$&quot;#,##0.000\)"/>
    <numFmt numFmtId="182" formatCode="&quot;$&quot;#,##0.000000_);[Red]\(&quot;$&quot;#,##0.000000\)"/>
    <numFmt numFmtId="183" formatCode="0.00_);\(0.00\)"/>
    <numFmt numFmtId="184" formatCode="0.0\x"/>
    <numFmt numFmtId="185" formatCode="0.0%_);\(0.0%\)"/>
    <numFmt numFmtId="186" formatCode="_(* #,##0.00000000_);_(* \(#,##0.00000000\);_(* &quot;-&quot;??_);_(@_)"/>
    <numFmt numFmtId="187" formatCode="&quot;$&quot;#,##0.00000_);\(&quot;$&quot;#,##0.00000\)"/>
    <numFmt numFmtId="188" formatCode="_-&quot;$&quot;* #,##0_-;\-&quot;$&quot;* #,##0_-;_-&quot;$&quot;* &quot;-&quot;_-;_-@_-"/>
    <numFmt numFmtId="189" formatCode="#,##0.0000000000000"/>
    <numFmt numFmtId="190" formatCode="&quot;$&quot;#,##0.00000000_);[Red]\(&quot;$&quot;#,##0.00000000\)"/>
    <numFmt numFmtId="191" formatCode=";;;"/>
    <numFmt numFmtId="192" formatCode="&quot;$&quot;#,##0.0_);\(&quot;$&quot;#,##0.00\)"/>
    <numFmt numFmtId="193" formatCode="_(&quot;$&quot;* #,##0.000000_);_(&quot;$&quot;* \(#,##0.000000\);_(&quot;$&quot;* &quot;-&quot;??_);_(@_)"/>
    <numFmt numFmtId="194" formatCode="&quot;$&quot;#,##0.00\ &quot;A&quot;\ \ \ ;\(&quot;$&quot;#,##0.00\)\ \ \ \ \ "/>
    <numFmt numFmtId="195" formatCode="mm/dd/yy"/>
    <numFmt numFmtId="196" formatCode="0.000000000"/>
    <numFmt numFmtId="197" formatCode="#,##0.0000_);\(#,##0.0000\)"/>
    <numFmt numFmtId="198" formatCode="@\ \ \ \ \ "/>
    <numFmt numFmtId="199" formatCode="#,##0.00_)\ \ \ \ \ ;\(#,##0.00\)\ \ \ \ \ "/>
    <numFmt numFmtId="200" formatCode="&quot;$&quot;#,##0.00_)\ \ \ \ \ ;\(&quot;$&quot;#,##0.00\)\ \ \ \ \ "/>
    <numFmt numFmtId="201" formatCode="&quot;$&quot;#,##0.00\A\ \ \ \ ;\(&quot;$&quot;#,##0.00\A\)\ \ \ \ "/>
    <numFmt numFmtId="202" formatCode="&quot;$&quot;#,##0.00&quot;E&quot;\ \ \ \ ;\(&quot;$&quot;#,##0.00&quot;E&quot;\)\ \ \ \ "/>
    <numFmt numFmtId="203" formatCode="#,##0.00\A\ \ \ \ ;\(#,##0.00\A\)\ \ \ \ "/>
    <numFmt numFmtId="204" formatCode="#,##0.00&quot;E&quot;\ \ \ \ ;\(#,##0.00&quot;E&quot;\)\ \ \ \ "/>
    <numFmt numFmtId="205" formatCode="0%\ \ \ \ \ \ \ "/>
    <numFmt numFmtId="206" formatCode="_(&quot;$&quot;* #,##0_)\ &quot;millions&quot;;_(&quot;$&quot;* \(#,##0\)&quot; millions&quot;"/>
    <numFmt numFmtId="207" formatCode="&quot;$&quot;#,##0\ &quot;MM&quot;;\(&quot;$&quot;#,##0.00\ &quot;MM&quot;\)"/>
    <numFmt numFmtId="208" formatCode="@&quot; MM&quot;"/>
    <numFmt numFmtId="209" formatCode="#,##0\ &quot;MM&quot;"/>
    <numFmt numFmtId="210" formatCode="0.00000%"/>
    <numFmt numFmtId="211" formatCode="0.0\ \ \ \ \ \ "/>
    <numFmt numFmtId="212" formatCode="0.0\ "/>
    <numFmt numFmtId="213" formatCode="0.0%\ \ \ \ \ "/>
    <numFmt numFmtId="214" formatCode="&quot;$&quot;#\-?/?"/>
    <numFmt numFmtId="215" formatCode="0.00\ \ \ \ "/>
    <numFmt numFmtId="216" formatCode="@\ "/>
    <numFmt numFmtId="217" formatCode="&quot;$&quot;@"/>
    <numFmt numFmtId="218" formatCode="#,##0.0_);[Red]\(#,##0.0\)"/>
    <numFmt numFmtId="219" formatCode="&quot;$&quot;#,##0.00"/>
    <numFmt numFmtId="220" formatCode="_(* #,##0.0_);_(* \(#,##0.0\);_(* &quot;-&quot;??_);_(@_)"/>
    <numFmt numFmtId="221" formatCode="_(* #,##0_);_(* \(#,##0\);_(* &quot;-&quot;??_);_(@_)"/>
    <numFmt numFmtId="222" formatCode="&quot;$&quot;#,##0"/>
    <numFmt numFmtId="223" formatCode="&quot;$&quot;#,##0.0"/>
    <numFmt numFmtId="224" formatCode="_(&quot;$&quot;* #,##0_);_(&quot;$&quot;* \(#,##0\);_(&quot;$&quot;* &quot;-&quot;??_);_(@_)"/>
    <numFmt numFmtId="225" formatCode="_-[$$-C09]* #,##0.00_-;\-[$$-C09]* #,##0.00_-;_-[$$-C09]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GillSans"/>
      <family val="0"/>
    </font>
    <font>
      <sz val="12"/>
      <name val="Tms Rmn"/>
      <family val="0"/>
    </font>
    <font>
      <sz val="10"/>
      <name val="Geneva"/>
      <family val="0"/>
    </font>
    <font>
      <b/>
      <sz val="9.5"/>
      <name val="Courier"/>
      <family val="0"/>
    </font>
    <font>
      <sz val="10"/>
      <name val="MS Sans Serif"/>
      <family val="0"/>
    </font>
    <font>
      <sz val="12"/>
      <name val="Century Schoolbook"/>
      <family val="0"/>
    </font>
    <font>
      <sz val="10"/>
      <name val="Palatino"/>
      <family val="0"/>
    </font>
    <font>
      <sz val="8"/>
      <name val="Arial"/>
      <family val="0"/>
    </font>
    <font>
      <sz val="8"/>
      <name val="Times New Roman"/>
      <family val="0"/>
    </font>
    <font>
      <sz val="10"/>
      <name val="Helv"/>
      <family val="0"/>
    </font>
    <font>
      <sz val="10"/>
      <name val="MS Serif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10"/>
      <color indexed="16"/>
      <name val="MS Serif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u val="single"/>
      <sz val="6"/>
      <color indexed="12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0"/>
    </font>
    <font>
      <sz val="10"/>
      <name val="Times New Roman"/>
      <family val="1"/>
    </font>
    <font>
      <sz val="11"/>
      <name val="Arial"/>
      <family val="0"/>
    </font>
    <font>
      <sz val="10"/>
      <name val="Baskerville MT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Book Antiqua"/>
      <family val="0"/>
    </font>
    <font>
      <sz val="8"/>
      <name val="MS Sans Serif"/>
      <family val="0"/>
    </font>
    <font>
      <sz val="12"/>
      <name val="Arial"/>
      <family val="0"/>
    </font>
    <font>
      <sz val="10"/>
      <name val="Bookman Old Style"/>
      <family val="0"/>
    </font>
    <font>
      <sz val="9"/>
      <name val="Century Schoolbook"/>
      <family val="1"/>
    </font>
    <font>
      <sz val="9.85"/>
      <name val="Times New Roman"/>
      <family val="0"/>
    </font>
    <font>
      <u val="single"/>
      <sz val="10"/>
      <name val="GillSans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2"/>
      <name val="GillSans"/>
      <family val="2"/>
    </font>
    <font>
      <u val="single"/>
      <sz val="11"/>
      <name val="GillSans"/>
      <family val="2"/>
    </font>
    <font>
      <b/>
      <sz val="14"/>
      <color indexed="2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23"/>
      <name val="Arial Narrow"/>
      <family val="2"/>
    </font>
    <font>
      <b/>
      <sz val="10"/>
      <color indexed="22"/>
      <name val="Arial Narrow"/>
      <family val="2"/>
    </font>
    <font>
      <sz val="10"/>
      <color indexed="22"/>
      <name val="Arial Narrow"/>
      <family val="2"/>
    </font>
    <font>
      <sz val="10"/>
      <color indexed="23"/>
      <name val="Arial Narrow"/>
      <family val="2"/>
    </font>
    <font>
      <b/>
      <sz val="10"/>
      <color indexed="23"/>
      <name val="Arial"/>
      <family val="2"/>
    </font>
    <font>
      <sz val="10"/>
      <color indexed="23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horizontal="right"/>
      <protection/>
    </xf>
    <xf numFmtId="164" fontId="2" fillId="2" borderId="0">
      <alignment/>
      <protection/>
    </xf>
    <xf numFmtId="165" fontId="2" fillId="2" borderId="0">
      <alignment/>
      <protection/>
    </xf>
    <xf numFmtId="166" fontId="2" fillId="2" borderId="0">
      <alignment/>
      <protection/>
    </xf>
    <xf numFmtId="167" fontId="2" fillId="2" borderId="0">
      <alignment horizontal="right"/>
      <protection/>
    </xf>
    <xf numFmtId="0" fontId="3" fillId="0" borderId="0" applyNumberFormat="0" applyFill="0" applyBorder="0" applyAlignment="0" applyProtection="0"/>
    <xf numFmtId="16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 locked="0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0" fillId="0" borderId="0" applyFont="0" applyFill="0" applyProtection="0">
      <alignment/>
    </xf>
    <xf numFmtId="169" fontId="0" fillId="0" borderId="0" applyFont="0" applyFill="0" applyBorder="0" applyAlignment="0" applyProtection="0"/>
    <xf numFmtId="6" fontId="0" fillId="0" borderId="0" applyFont="0" applyFill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" fillId="0" borderId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4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8" fontId="0" fillId="0" borderId="0" applyProtection="0">
      <alignment/>
    </xf>
    <xf numFmtId="176" fontId="0" fillId="0" borderId="0" applyProtection="0">
      <alignment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8" fontId="0" fillId="0" borderId="0" applyFont="0" applyFill="0" applyProtection="0">
      <alignment/>
    </xf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38" fontId="6" fillId="0" borderId="0" applyFill="0" applyBorder="0" applyAlignment="0" applyProtection="0"/>
    <xf numFmtId="8" fontId="0" fillId="0" borderId="0" applyFont="0" applyFill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2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3" fillId="0" borderId="0">
      <alignment/>
      <protection locked="0"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0" fontId="0" fillId="0" borderId="0" applyFont="0" applyFill="0" applyProtection="0">
      <alignment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Protection="0">
      <alignment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1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1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>
      <alignment horizontal="center"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2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1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1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2" fontId="0" fillId="0" borderId="0" applyFont="0" applyFill="0" applyProtection="0">
      <alignment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2" fontId="0" fillId="0" borderId="0" applyFont="0" applyFill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8" fontId="2" fillId="2" borderId="1">
      <alignment horizontal="right"/>
      <protection/>
    </xf>
    <xf numFmtId="198" fontId="2" fillId="2" borderId="1">
      <alignment horizontal="right"/>
      <protection/>
    </xf>
    <xf numFmtId="0" fontId="15" fillId="0" borderId="0" applyNumberFormat="0" applyAlignment="0">
      <protection/>
    </xf>
    <xf numFmtId="199" fontId="2" fillId="3" borderId="0">
      <alignment/>
      <protection/>
    </xf>
    <xf numFmtId="200" fontId="2" fillId="3" borderId="0">
      <alignment/>
      <protection/>
    </xf>
    <xf numFmtId="200" fontId="2" fillId="3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7" fontId="2" fillId="3" borderId="0" applyBorder="0">
      <alignment/>
      <protection/>
    </xf>
    <xf numFmtId="200" fontId="2" fillId="0" borderId="0">
      <alignment/>
      <protection/>
    </xf>
    <xf numFmtId="200" fontId="2" fillId="3" borderId="0">
      <alignment/>
      <protection/>
    </xf>
    <xf numFmtId="7" fontId="2" fillId="3" borderId="0" applyBorder="0">
      <alignment/>
      <protection/>
    </xf>
    <xf numFmtId="7" fontId="2" fillId="3" borderId="0" applyBorder="0">
      <alignment/>
      <protection/>
    </xf>
    <xf numFmtId="201" fontId="2" fillId="3" borderId="0">
      <alignment/>
      <protection/>
    </xf>
    <xf numFmtId="201" fontId="2" fillId="3" borderId="0">
      <alignment/>
      <protection/>
    </xf>
    <xf numFmtId="201" fontId="2" fillId="0" borderId="0">
      <alignment/>
      <protection/>
    </xf>
    <xf numFmtId="201" fontId="2" fillId="0" borderId="0">
      <alignment/>
      <protection/>
    </xf>
    <xf numFmtId="201" fontId="2" fillId="3" borderId="0">
      <alignment/>
      <protection/>
    </xf>
    <xf numFmtId="202" fontId="2" fillId="0" borderId="0">
      <alignment/>
      <protection/>
    </xf>
    <xf numFmtId="199" fontId="2" fillId="3" borderId="0">
      <alignment/>
      <protection/>
    </xf>
    <xf numFmtId="199" fontId="2" fillId="0" borderId="0">
      <alignment/>
      <protection/>
    </xf>
    <xf numFmtId="199" fontId="2" fillId="0" borderId="0">
      <alignment/>
      <protection/>
    </xf>
    <xf numFmtId="39" fontId="2" fillId="3" borderId="0">
      <alignment/>
      <protection/>
    </xf>
    <xf numFmtId="199" fontId="2" fillId="0" borderId="0">
      <alignment/>
      <protection/>
    </xf>
    <xf numFmtId="199" fontId="2" fillId="3" borderId="0">
      <alignment/>
      <protection/>
    </xf>
    <xf numFmtId="39" fontId="2" fillId="3" borderId="0">
      <alignment/>
      <protection/>
    </xf>
    <xf numFmtId="39" fontId="2" fillId="3" borderId="0">
      <alignment/>
      <protection/>
    </xf>
    <xf numFmtId="203" fontId="2" fillId="0" borderId="0">
      <alignment/>
      <protection/>
    </xf>
    <xf numFmtId="204" fontId="2" fillId="0" borderId="0">
      <alignment/>
      <protection/>
    </xf>
    <xf numFmtId="0" fontId="16" fillId="0" borderId="0" applyNumberFormat="0" applyFill="0" applyBorder="0" applyAlignment="0" applyProtection="0"/>
    <xf numFmtId="200" fontId="2" fillId="0" borderId="2">
      <alignment/>
      <protection/>
    </xf>
    <xf numFmtId="205" fontId="2" fillId="2" borderId="1">
      <alignment horizontal="right"/>
      <protection/>
    </xf>
    <xf numFmtId="205" fontId="2" fillId="2" borderId="1">
      <alignment horizontal="right"/>
      <protection/>
    </xf>
    <xf numFmtId="38" fontId="9" fillId="2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0" fontId="9" fillId="4" borderId="5" applyNumberFormat="0" applyBorder="0" applyAlignment="0" applyProtection="0"/>
    <xf numFmtId="206" fontId="2" fillId="0" borderId="0">
      <alignment horizontal="right"/>
      <protection/>
    </xf>
    <xf numFmtId="207" fontId="2" fillId="3" borderId="0">
      <alignment horizontal="right"/>
      <protection/>
    </xf>
    <xf numFmtId="207" fontId="2" fillId="3" borderId="0">
      <alignment horizontal="right"/>
      <protection/>
    </xf>
    <xf numFmtId="207" fontId="2" fillId="0" borderId="0">
      <alignment horizontal="right"/>
      <protection/>
    </xf>
    <xf numFmtId="207" fontId="2" fillId="0" borderId="0">
      <alignment horizontal="right"/>
      <protection/>
    </xf>
    <xf numFmtId="207" fontId="2" fillId="0" borderId="0">
      <alignment horizontal="right"/>
      <protection/>
    </xf>
    <xf numFmtId="207" fontId="2" fillId="3" borderId="0">
      <alignment horizontal="right"/>
      <protection/>
    </xf>
    <xf numFmtId="208" fontId="2" fillId="3" borderId="1">
      <alignment horizontal="right"/>
      <protection/>
    </xf>
    <xf numFmtId="208" fontId="2" fillId="3" borderId="1">
      <alignment horizontal="right"/>
      <protection/>
    </xf>
    <xf numFmtId="209" fontId="2" fillId="0" borderId="0">
      <alignment horizontal="right"/>
      <protection/>
    </xf>
    <xf numFmtId="209" fontId="2" fillId="0" borderId="0">
      <alignment horizontal="right"/>
      <protection/>
    </xf>
    <xf numFmtId="208" fontId="2" fillId="2" borderId="1">
      <alignment horizontal="right"/>
      <protection/>
    </xf>
    <xf numFmtId="209" fontId="2" fillId="0" borderId="0">
      <alignment horizontal="right"/>
      <protection/>
    </xf>
    <xf numFmtId="208" fontId="2" fillId="3" borderId="1">
      <alignment horizontal="right"/>
      <protection/>
    </xf>
    <xf numFmtId="208" fontId="2" fillId="2" borderId="1">
      <alignment horizontal="right"/>
      <protection/>
    </xf>
    <xf numFmtId="208" fontId="2" fillId="2" borderId="1">
      <alignment horizontal="right"/>
      <protection/>
    </xf>
    <xf numFmtId="210" fontId="0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8" fontId="9" fillId="0" borderId="0">
      <alignment horizontal="right" vertical="top"/>
      <protection/>
    </xf>
    <xf numFmtId="0" fontId="23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3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9" fontId="0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6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 applyBorder="0">
      <alignment/>
      <protection/>
    </xf>
    <xf numFmtId="0" fontId="25" fillId="0" borderId="6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175" fontId="0" fillId="0" borderId="0">
      <alignment/>
      <protection/>
    </xf>
    <xf numFmtId="179" fontId="0" fillId="0" borderId="0">
      <alignment/>
      <protection/>
    </xf>
    <xf numFmtId="175" fontId="0" fillId="0" borderId="0">
      <alignment/>
      <protection/>
    </xf>
    <xf numFmtId="179" fontId="0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0" fillId="0" borderId="0" applyBorder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3" fontId="28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8" fontId="9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9" fillId="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29" fillId="6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24" fillId="0" borderId="0">
      <alignment/>
      <protection/>
    </xf>
    <xf numFmtId="3" fontId="6" fillId="0" borderId="0">
      <alignment/>
      <protection/>
    </xf>
    <xf numFmtId="175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1" fontId="2" fillId="3" borderId="0">
      <alignment/>
      <protection/>
    </xf>
    <xf numFmtId="211" fontId="2" fillId="3" borderId="0">
      <alignment/>
      <protection/>
    </xf>
    <xf numFmtId="211" fontId="2" fillId="0" borderId="0">
      <alignment/>
      <protection/>
    </xf>
    <xf numFmtId="211" fontId="2" fillId="0" borderId="0">
      <alignment/>
      <protection/>
    </xf>
    <xf numFmtId="212" fontId="2" fillId="3" borderId="0">
      <alignment/>
      <protection/>
    </xf>
    <xf numFmtId="211" fontId="2" fillId="0" borderId="0">
      <alignment/>
      <protection/>
    </xf>
    <xf numFmtId="211" fontId="2" fillId="3" borderId="0">
      <alignment/>
      <protection/>
    </xf>
    <xf numFmtId="212" fontId="2" fillId="3" borderId="0">
      <alignment/>
      <protection/>
    </xf>
    <xf numFmtId="212" fontId="2" fillId="3" borderId="0">
      <alignment/>
      <protection/>
    </xf>
    <xf numFmtId="213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3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9" fontId="0" fillId="0" borderId="0" applyFont="0" applyFill="0" applyBorder="0" applyAlignment="0" applyProtection="0"/>
    <xf numFmtId="214" fontId="2" fillId="3" borderId="0">
      <alignment horizontal="right"/>
      <protection/>
    </xf>
    <xf numFmtId="214" fontId="2" fillId="3" borderId="0">
      <alignment horizontal="right"/>
      <protection/>
    </xf>
    <xf numFmtId="214" fontId="2" fillId="0" borderId="0">
      <alignment horizontal="right"/>
      <protection/>
    </xf>
    <xf numFmtId="214" fontId="2" fillId="0" borderId="0">
      <alignment horizontal="right"/>
      <protection/>
    </xf>
    <xf numFmtId="214" fontId="2" fillId="2" borderId="7">
      <alignment horizontal="right"/>
      <protection/>
    </xf>
    <xf numFmtId="214" fontId="2" fillId="0" borderId="0">
      <alignment horizontal="right"/>
      <protection/>
    </xf>
    <xf numFmtId="214" fontId="2" fillId="3" borderId="0">
      <alignment horizontal="right"/>
      <protection/>
    </xf>
    <xf numFmtId="214" fontId="2" fillId="2" borderId="7">
      <alignment horizontal="right"/>
      <protection/>
    </xf>
    <xf numFmtId="214" fontId="2" fillId="2" borderId="7">
      <alignment horizontal="right"/>
      <protection/>
    </xf>
    <xf numFmtId="215" fontId="2" fillId="2" borderId="0">
      <alignment/>
      <protection/>
    </xf>
    <xf numFmtId="215" fontId="2" fillId="2" borderId="0">
      <alignment/>
      <protection/>
    </xf>
    <xf numFmtId="0" fontId="33" fillId="0" borderId="0">
      <alignment horizontal="center"/>
      <protection/>
    </xf>
    <xf numFmtId="0" fontId="2" fillId="0" borderId="6">
      <alignment horizontal="centerContinuous"/>
      <protection/>
    </xf>
    <xf numFmtId="216" fontId="2" fillId="2" borderId="0">
      <alignment horizontal="right"/>
      <protection/>
    </xf>
    <xf numFmtId="217" fontId="2" fillId="2" borderId="1">
      <alignment horizontal="right"/>
      <protection/>
    </xf>
    <xf numFmtId="217" fontId="2" fillId="2" borderId="1">
      <alignment horizontal="right"/>
      <protection/>
    </xf>
    <xf numFmtId="195" fontId="34" fillId="0" borderId="0" applyNumberFormat="0" applyFill="0" applyBorder="0" applyAlignment="0" applyProtection="0"/>
    <xf numFmtId="40" fontId="35" fillId="0" borderId="0" applyBorder="0">
      <alignment horizontal="right"/>
      <protection/>
    </xf>
    <xf numFmtId="49" fontId="36" fillId="0" borderId="0">
      <alignment/>
      <protection/>
    </xf>
    <xf numFmtId="0" fontId="37" fillId="0" borderId="0">
      <alignment/>
      <protection/>
    </xf>
  </cellStyleXfs>
  <cellXfs count="56">
    <xf numFmtId="0" fontId="0" fillId="0" borderId="0" xfId="0" applyAlignment="1">
      <alignment/>
    </xf>
    <xf numFmtId="222" fontId="0" fillId="0" borderId="0" xfId="0" applyNumberFormat="1" applyAlignment="1">
      <alignment/>
    </xf>
    <xf numFmtId="22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1" fillId="0" borderId="0" xfId="23" applyNumberFormat="1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8" fillId="2" borderId="0" xfId="0" applyFont="1" applyFill="1" applyAlignment="1">
      <alignment horizontal="center"/>
    </xf>
    <xf numFmtId="0" fontId="39" fillId="7" borderId="0" xfId="0" applyFont="1" applyFill="1" applyAlignment="1">
      <alignment/>
    </xf>
    <xf numFmtId="0" fontId="40" fillId="2" borderId="0" xfId="0" applyFont="1" applyFill="1" applyAlignment="1">
      <alignment horizontal="center"/>
    </xf>
    <xf numFmtId="0" fontId="39" fillId="2" borderId="0" xfId="0" applyFont="1" applyFill="1" applyAlignment="1">
      <alignment/>
    </xf>
    <xf numFmtId="0" fontId="41" fillId="2" borderId="0" xfId="0" applyFont="1" applyFill="1" applyAlignment="1">
      <alignment horizontal="center"/>
    </xf>
    <xf numFmtId="0" fontId="42" fillId="7" borderId="0" xfId="0" applyFont="1" applyFill="1" applyAlignment="1">
      <alignment horizontal="center"/>
    </xf>
    <xf numFmtId="0" fontId="43" fillId="7" borderId="0" xfId="0" applyFont="1" applyFill="1" applyAlignment="1">
      <alignment/>
    </xf>
    <xf numFmtId="0" fontId="42" fillId="7" borderId="0" xfId="0" applyFont="1" applyFill="1" applyAlignment="1">
      <alignment/>
    </xf>
    <xf numFmtId="222" fontId="43" fillId="7" borderId="0" xfId="0" applyNumberFormat="1" applyFont="1" applyFill="1" applyAlignment="1">
      <alignment/>
    </xf>
    <xf numFmtId="222" fontId="42" fillId="7" borderId="0" xfId="0" applyNumberFormat="1" applyFont="1" applyFill="1" applyAlignment="1">
      <alignment/>
    </xf>
    <xf numFmtId="6" fontId="42" fillId="7" borderId="0" xfId="0" applyNumberFormat="1" applyFont="1" applyFill="1" applyAlignment="1">
      <alignment/>
    </xf>
    <xf numFmtId="6" fontId="43" fillId="7" borderId="0" xfId="0" applyNumberFormat="1" applyFont="1" applyFill="1" applyAlignment="1">
      <alignment/>
    </xf>
    <xf numFmtId="8" fontId="42" fillId="7" borderId="0" xfId="23" applyNumberFormat="1" applyFont="1" applyFill="1" applyAlignment="1">
      <alignment/>
    </xf>
    <xf numFmtId="3" fontId="42" fillId="7" borderId="0" xfId="0" applyNumberFormat="1" applyFont="1" applyFill="1" applyAlignment="1">
      <alignment/>
    </xf>
    <xf numFmtId="0" fontId="42" fillId="7" borderId="0" xfId="0" applyFont="1" applyFill="1" applyBorder="1" applyAlignment="1">
      <alignment horizontal="center"/>
    </xf>
    <xf numFmtId="0" fontId="44" fillId="2" borderId="0" xfId="0" applyFont="1" applyFill="1" applyAlignment="1">
      <alignment/>
    </xf>
    <xf numFmtId="0" fontId="41" fillId="2" borderId="0" xfId="0" applyFont="1" applyFill="1" applyAlignment="1">
      <alignment/>
    </xf>
    <xf numFmtId="222" fontId="44" fillId="2" borderId="0" xfId="0" applyNumberFormat="1" applyFont="1" applyFill="1" applyAlignment="1">
      <alignment/>
    </xf>
    <xf numFmtId="222" fontId="41" fillId="2" borderId="0" xfId="0" applyNumberFormat="1" applyFont="1" applyFill="1" applyAlignment="1">
      <alignment/>
    </xf>
    <xf numFmtId="6" fontId="41" fillId="2" borderId="0" xfId="0" applyNumberFormat="1" applyFont="1" applyFill="1" applyAlignment="1">
      <alignment/>
    </xf>
    <xf numFmtId="5" fontId="41" fillId="2" borderId="0" xfId="0" applyNumberFormat="1" applyFont="1" applyFill="1" applyAlignment="1">
      <alignment/>
    </xf>
    <xf numFmtId="6" fontId="44" fillId="2" borderId="0" xfId="0" applyNumberFormat="1" applyFont="1" applyFill="1" applyAlignment="1">
      <alignment/>
    </xf>
    <xf numFmtId="5" fontId="44" fillId="2" borderId="0" xfId="0" applyNumberFormat="1" applyFont="1" applyFill="1" applyAlignment="1">
      <alignment/>
    </xf>
    <xf numFmtId="8" fontId="41" fillId="2" borderId="0" xfId="23" applyNumberFormat="1" applyFont="1" applyFill="1" applyAlignment="1">
      <alignment/>
    </xf>
    <xf numFmtId="219" fontId="44" fillId="2" borderId="0" xfId="0" applyNumberFormat="1" applyFont="1" applyFill="1" applyAlignment="1">
      <alignment/>
    </xf>
    <xf numFmtId="3" fontId="41" fillId="2" borderId="0" xfId="0" applyNumberFormat="1" applyFont="1" applyFill="1" applyAlignment="1">
      <alignment/>
    </xf>
    <xf numFmtId="3" fontId="41" fillId="2" borderId="0" xfId="23" applyNumberFormat="1" applyFont="1" applyFill="1" applyAlignment="1">
      <alignment/>
    </xf>
    <xf numFmtId="219" fontId="43" fillId="7" borderId="0" xfId="0" applyNumberFormat="1" applyFont="1" applyFill="1" applyAlignment="1">
      <alignment/>
    </xf>
    <xf numFmtId="8" fontId="42" fillId="7" borderId="0" xfId="0" applyNumberFormat="1" applyFont="1" applyFill="1" applyAlignment="1">
      <alignment/>
    </xf>
    <xf numFmtId="3" fontId="42" fillId="7" borderId="0" xfId="23" applyNumberFormat="1" applyFont="1" applyFill="1" applyAlignment="1">
      <alignment/>
    </xf>
    <xf numFmtId="5" fontId="43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219" fontId="1" fillId="7" borderId="0" xfId="0" applyNumberFormat="1" applyFont="1" applyFill="1" applyAlignment="1">
      <alignment/>
    </xf>
    <xf numFmtId="219" fontId="0" fillId="7" borderId="0" xfId="0" applyNumberFormat="1" applyFill="1" applyAlignment="1">
      <alignment/>
    </xf>
    <xf numFmtId="222" fontId="44" fillId="2" borderId="0" xfId="323" applyNumberFormat="1" applyFont="1" applyFill="1" applyAlignment="1">
      <alignment/>
    </xf>
    <xf numFmtId="222" fontId="41" fillId="2" borderId="0" xfId="323" applyNumberFormat="1" applyFont="1" applyFill="1" applyAlignment="1">
      <alignment/>
    </xf>
    <xf numFmtId="222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41" fillId="2" borderId="0" xfId="323" applyNumberFormat="1" applyFont="1" applyFill="1" applyAlignment="1">
      <alignment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/>
    </xf>
    <xf numFmtId="224" fontId="44" fillId="2" borderId="0" xfId="323" applyNumberFormat="1" applyFont="1" applyFill="1" applyAlignment="1">
      <alignment/>
    </xf>
    <xf numFmtId="222" fontId="46" fillId="2" borderId="0" xfId="0" applyNumberFormat="1" applyFont="1" applyFill="1" applyAlignment="1">
      <alignment/>
    </xf>
    <xf numFmtId="221" fontId="41" fillId="2" borderId="0" xfId="23" applyNumberFormat="1" applyFont="1" applyFill="1" applyAlignment="1">
      <alignment/>
    </xf>
    <xf numFmtId="224" fontId="41" fillId="2" borderId="0" xfId="323" applyNumberFormat="1" applyFont="1" applyFill="1" applyAlignment="1">
      <alignment/>
    </xf>
    <xf numFmtId="221" fontId="44" fillId="2" borderId="0" xfId="23" applyNumberFormat="1" applyFont="1" applyFill="1" applyAlignment="1">
      <alignment/>
    </xf>
    <xf numFmtId="0" fontId="47" fillId="7" borderId="0" xfId="0" applyFont="1" applyFill="1" applyAlignment="1">
      <alignment horizontal="center"/>
    </xf>
    <xf numFmtId="0" fontId="48" fillId="7" borderId="0" xfId="0" applyFont="1" applyFill="1" applyAlignment="1">
      <alignment/>
    </xf>
  </cellXfs>
  <cellStyles count="1025">
    <cellStyle name="Normal" xfId="0"/>
    <cellStyle name="$" xfId="15"/>
    <cellStyle name="$m" xfId="16"/>
    <cellStyle name="$q" xfId="17"/>
    <cellStyle name="$q*" xfId="18"/>
    <cellStyle name="$qA" xfId="19"/>
    <cellStyle name="$qRange" xfId="20"/>
    <cellStyle name="Body" xfId="21"/>
    <cellStyle name="Calc Currency (0)" xfId="22"/>
    <cellStyle name="Comma" xfId="23"/>
    <cellStyle name="Comma [0]" xfId="24"/>
    <cellStyle name="Comma [0]_- Summary Info - " xfId="25"/>
    <cellStyle name="Comma [0]_12~3SO2" xfId="26"/>
    <cellStyle name="Comma [0]_3. NSA (2)" xfId="27"/>
    <cellStyle name="Comma [0]_5100 Power" xfId="28"/>
    <cellStyle name="Comma [0]_5100 Power Calculations" xfId="29"/>
    <cellStyle name="Comma [0]_CCOCPX" xfId="30"/>
    <cellStyle name="Comma [0]_Channel Table" xfId="31"/>
    <cellStyle name="Comma [0]_Cur 5100" xfId="32"/>
    <cellStyle name="Comma [0]_Disk Calculations" xfId="33"/>
    <cellStyle name="Comma [0]_E&amp;ONW1" xfId="34"/>
    <cellStyle name="Comma [0]_E&amp;ONW2" xfId="35"/>
    <cellStyle name="Comma [0]_E&amp;OOCPX" xfId="36"/>
    <cellStyle name="Comma [0]_F&amp;COCPX" xfId="37"/>
    <cellStyle name="Comma [0]_Full Year FY96" xfId="38"/>
    <cellStyle name="Comma [0]_Full Year FY96_laroux" xfId="39"/>
    <cellStyle name="Comma [0]_Full Year FY96_laroux_PLDT" xfId="40"/>
    <cellStyle name="Comma [0]_groups" xfId="41"/>
    <cellStyle name="Comma [0]_Info" xfId="42"/>
    <cellStyle name="Comma [0]_Inputs" xfId="43"/>
    <cellStyle name="Comma [0]_ITOCPX" xfId="44"/>
    <cellStyle name="Comma [0]_laroux" xfId="45"/>
    <cellStyle name="Comma [0]_laroux_1" xfId="46"/>
    <cellStyle name="Comma [0]_laroux_1_12~3SO2" xfId="47"/>
    <cellStyle name="Comma [0]_laroux_1_laroux" xfId="48"/>
    <cellStyle name="Comma [0]_laroux_1_laroux_1" xfId="49"/>
    <cellStyle name="Comma [0]_laroux_1_laroux_1_PLDT" xfId="50"/>
    <cellStyle name="Comma [0]_laroux_1_laroux_pldt" xfId="51"/>
    <cellStyle name="Comma [0]_laroux_1_laroux_pldt_PLDT" xfId="52"/>
    <cellStyle name="Comma [0]_laroux_1_pldt" xfId="53"/>
    <cellStyle name="Comma [0]_laroux_1_pldt_1" xfId="54"/>
    <cellStyle name="Comma [0]_laroux_1_pldt_2" xfId="55"/>
    <cellStyle name="Comma [0]_laroux_12~3SO2" xfId="56"/>
    <cellStyle name="Comma [0]_laroux_12~3SO2_laroux" xfId="57"/>
    <cellStyle name="Comma [0]_laroux_12~3SO2_laroux_PLDT" xfId="58"/>
    <cellStyle name="Comma [0]_laroux_2" xfId="59"/>
    <cellStyle name="Comma [0]_laroux_2_12~3SO2" xfId="60"/>
    <cellStyle name="Comma [0]_laroux_2_12~3SO2_laroux" xfId="61"/>
    <cellStyle name="Comma [0]_laroux_2_12~3SO2_laroux_pldt" xfId="62"/>
    <cellStyle name="Comma [0]_laroux_2_12~3SO2_pldt" xfId="63"/>
    <cellStyle name="Comma [0]_laroux_2_pldt" xfId="64"/>
    <cellStyle name="Comma [0]_laroux_3" xfId="65"/>
    <cellStyle name="Comma [0]_laroux_3_laroux" xfId="66"/>
    <cellStyle name="Comma [0]_laroux_3_laroux_1" xfId="67"/>
    <cellStyle name="Comma [0]_laroux_3_laroux_pldt" xfId="68"/>
    <cellStyle name="Comma [0]_laroux_3_pldt" xfId="69"/>
    <cellStyle name="Comma [0]_laroux_3_pldt_1" xfId="70"/>
    <cellStyle name="Comma [0]_laroux_4" xfId="71"/>
    <cellStyle name="Comma [0]_laroux_laroux" xfId="72"/>
    <cellStyle name="Comma [0]_laroux_MATERAL2" xfId="73"/>
    <cellStyle name="Comma [0]_laroux_MATERAL2_laroux" xfId="74"/>
    <cellStyle name="Comma [0]_laroux_MATERAL2_laroux_pldt" xfId="75"/>
    <cellStyle name="Comma [0]_laroux_MATERAL2_pldt" xfId="76"/>
    <cellStyle name="Comma [0]_laroux_MATERAL2_pldt_1" xfId="77"/>
    <cellStyle name="Comma [0]_laroux_mud plant bolted" xfId="78"/>
    <cellStyle name="Comma [0]_laroux_mud plant bolted_laroux" xfId="79"/>
    <cellStyle name="Comma [0]_laroux_mud plant bolted_laroux_pldt" xfId="80"/>
    <cellStyle name="Comma [0]_laroux_mud plant bolted_pldt" xfId="81"/>
    <cellStyle name="Comma [0]_laroux_pldt" xfId="82"/>
    <cellStyle name="Comma [0]_MACRO1.XLM" xfId="83"/>
    <cellStyle name="Comma [0]_MATERAL2" xfId="84"/>
    <cellStyle name="Comma [0]_MATERAL2_laroux" xfId="85"/>
    <cellStyle name="Comma [0]_MATERAL2_laroux_pldt" xfId="86"/>
    <cellStyle name="Comma [0]_MATERAL2_pldt" xfId="87"/>
    <cellStyle name="Comma [0]_MKGOCPX" xfId="88"/>
    <cellStyle name="Comma [0]_MOBCPX" xfId="89"/>
    <cellStyle name="Comma [0]_Module1" xfId="90"/>
    <cellStyle name="Comma [0]_mud plant bolted" xfId="91"/>
    <cellStyle name="Comma [0]_mud plant bolted_laroux" xfId="92"/>
    <cellStyle name="Comma [0]_mud plant bolted_laroux_pldt" xfId="93"/>
    <cellStyle name="Comma [0]_mud plant bolted_pldt" xfId="94"/>
    <cellStyle name="Comma [0]_mud plant bolted_pldt_1" xfId="95"/>
    <cellStyle name="Comma [0]_Non-Contract Services" xfId="96"/>
    <cellStyle name="Comma [0]_NSA PRICING" xfId="97"/>
    <cellStyle name="Comma [0]_OSMOCPX" xfId="98"/>
    <cellStyle name="Comma [0]_P&amp;L" xfId="99"/>
    <cellStyle name="Comma [0]_PGMKOCPX" xfId="100"/>
    <cellStyle name="Comma [0]_PGNW1" xfId="101"/>
    <cellStyle name="Comma [0]_PGNW2" xfId="102"/>
    <cellStyle name="Comma [0]_PGNWOCPX" xfId="103"/>
    <cellStyle name="Comma [0]_pldt" xfId="104"/>
    <cellStyle name="Comma [0]_pldt_1" xfId="105"/>
    <cellStyle name="Comma [0]_pldt_2" xfId="106"/>
    <cellStyle name="Comma [0]_pldt_pldt" xfId="107"/>
    <cellStyle name="Comma [0]_Prof_Services_7-22" xfId="108"/>
    <cellStyle name="Comma [0]_Q1 FY96" xfId="109"/>
    <cellStyle name="Comma [0]_Q1 FY96_laroux" xfId="110"/>
    <cellStyle name="Comma [0]_Q1 FY96_laroux_PLDT" xfId="111"/>
    <cellStyle name="Comma [0]_Q2 FY96" xfId="112"/>
    <cellStyle name="Comma [0]_Q2 FY96_laroux" xfId="113"/>
    <cellStyle name="Comma [0]_Q2 FY96_laroux_PLDT" xfId="114"/>
    <cellStyle name="Comma [0]_Q3 FY96" xfId="115"/>
    <cellStyle name="Comma [0]_Q3 FY96_laroux" xfId="116"/>
    <cellStyle name="Comma [0]_Q3 FY96_laroux_PLDT" xfId="117"/>
    <cellStyle name="Comma [0]_Q4 FY96" xfId="118"/>
    <cellStyle name="Comma [0]_Q4 FY96_laroux" xfId="119"/>
    <cellStyle name="Comma [0]_Q4 FY96_laroux_PLDT" xfId="120"/>
    <cellStyle name="Comma [0]_QTR94_95" xfId="121"/>
    <cellStyle name="Comma [0]_QTR94_95_laroux" xfId="122"/>
    <cellStyle name="Comma [0]_QTR94_95_laroux_PLDT" xfId="123"/>
    <cellStyle name="Comma [0]_r1" xfId="124"/>
    <cellStyle name="Comma [0]_r1_laroux" xfId="125"/>
    <cellStyle name="Comma [0]_r1_laroux_PLDT" xfId="126"/>
    <cellStyle name="Comma [0]_RQSTFRM" xfId="127"/>
    <cellStyle name="Comma [0]_SAS" xfId="128"/>
    <cellStyle name="Comma [0]_SATOCPX" xfId="129"/>
    <cellStyle name="Comma [0]_Sheet1" xfId="130"/>
    <cellStyle name="Comma [0]_Sheet1_1" xfId="131"/>
    <cellStyle name="Comma [0]_Sheet1_Book6" xfId="132"/>
    <cellStyle name="Comma [0]_Sheet1_laroux" xfId="133"/>
    <cellStyle name="Comma [0]_Sheet1_laroux_1" xfId="134"/>
    <cellStyle name="Comma [0]_Sheet1_laroux_1_pldt" xfId="135"/>
    <cellStyle name="Comma [0]_Sheet1_laroux_laroux" xfId="136"/>
    <cellStyle name="Comma [0]_Sheet1_laroux_laroux_PLDT" xfId="137"/>
    <cellStyle name="Comma [0]_Sheet1_laroux_pldt" xfId="138"/>
    <cellStyle name="Comma [0]_Sheet1_PERSONAL" xfId="139"/>
    <cellStyle name="Comma [0]_Sheet1_pldt" xfId="140"/>
    <cellStyle name="Comma [0]_Sheet4" xfId="141"/>
    <cellStyle name="Comma [0]_Sheet4_Kits (2)" xfId="142"/>
    <cellStyle name="Comma [0]_Sheet4_pldt" xfId="143"/>
    <cellStyle name="Comma [0]_Sheet4_pldt_Kits (2)" xfId="144"/>
    <cellStyle name="Comma [0]_Shipped" xfId="145"/>
    <cellStyle name="Comma [0]_split" xfId="146"/>
    <cellStyle name="Comma [0]_T_062396" xfId="147"/>
    <cellStyle name="Comma [0]_Terms Defined" xfId="148"/>
    <cellStyle name="Comma [0]_TMSNW1" xfId="149"/>
    <cellStyle name="Comma [0]_TMSNW2" xfId="150"/>
    <cellStyle name="Comma [0]_TMSOCPX" xfId="151"/>
    <cellStyle name="Comma [0]_WIP Chart" xfId="152"/>
    <cellStyle name="Comma_- Summary Info - " xfId="153"/>
    <cellStyle name="Comma_12~3SO2" xfId="154"/>
    <cellStyle name="Comma_3. NSA (2)" xfId="155"/>
    <cellStyle name="Comma_5100 Power" xfId="156"/>
    <cellStyle name="Comma_5100 Power Calculations" xfId="157"/>
    <cellStyle name="Comma_Capex" xfId="158"/>
    <cellStyle name="Comma_Capex per line" xfId="159"/>
    <cellStyle name="Comma_Capex%rev" xfId="160"/>
    <cellStyle name="Comma_C-Cap intensity" xfId="161"/>
    <cellStyle name="Comma_C-Capex%rev" xfId="162"/>
    <cellStyle name="Comma_CCOCPX" xfId="163"/>
    <cellStyle name="Comma_Channel Table" xfId="164"/>
    <cellStyle name="Comma_Cht-Capex per line" xfId="165"/>
    <cellStyle name="Comma_Cht-Cum Real Opr Cf" xfId="166"/>
    <cellStyle name="Comma_Cht-Dep%Rev" xfId="167"/>
    <cellStyle name="Comma_Cht-Real Opr Cf" xfId="168"/>
    <cellStyle name="Comma_Cht-Rev dist" xfId="169"/>
    <cellStyle name="Comma_Cht-Rev p line" xfId="170"/>
    <cellStyle name="Comma_Cht-Rev per Staff" xfId="171"/>
    <cellStyle name="Comma_Cht-Staff cost%revenue" xfId="172"/>
    <cellStyle name="Comma_C-Line per Staff" xfId="173"/>
    <cellStyle name="Comma_C-lines distribution" xfId="174"/>
    <cellStyle name="Comma_comps2" xfId="175"/>
    <cellStyle name="Comma_C-Orig PLDT lines" xfId="176"/>
    <cellStyle name="Comma_C-Ret on Rev" xfId="177"/>
    <cellStyle name="Comma_C-ROACE" xfId="178"/>
    <cellStyle name="Comma_CROCF" xfId="179"/>
    <cellStyle name="Comma_Cum Real Opr Cf" xfId="180"/>
    <cellStyle name="Comma_Cur 5100" xfId="181"/>
    <cellStyle name="Comma_Demand Fcst." xfId="182"/>
    <cellStyle name="Comma_Dep%Rev" xfId="183"/>
    <cellStyle name="Comma_Disk Calculations" xfId="184"/>
    <cellStyle name="Comma_E&amp;ONW1" xfId="185"/>
    <cellStyle name="Comma_E&amp;ONW2" xfId="186"/>
    <cellStyle name="Comma_E&amp;OOCPX" xfId="187"/>
    <cellStyle name="Comma_EPS" xfId="188"/>
    <cellStyle name="Comma_F&amp;COCPX" xfId="189"/>
    <cellStyle name="Comma_Full Year FY96" xfId="190"/>
    <cellStyle name="Comma_Full Year FY96_laroux" xfId="191"/>
    <cellStyle name="Comma_Full Year FY96_laroux_PLDT" xfId="192"/>
    <cellStyle name="Comma_groups" xfId="193"/>
    <cellStyle name="Comma_Info" xfId="194"/>
    <cellStyle name="Comma_Inputs" xfId="195"/>
    <cellStyle name="Comma_IRR" xfId="196"/>
    <cellStyle name="Comma_ITOCPX" xfId="197"/>
    <cellStyle name="Comma_laroux" xfId="198"/>
    <cellStyle name="Comma_laroux_1" xfId="199"/>
    <cellStyle name="Comma_laroux_1_12~3SO2" xfId="200"/>
    <cellStyle name="Comma_laroux_1_laroux" xfId="201"/>
    <cellStyle name="Comma_laroux_1_laroux_1" xfId="202"/>
    <cellStyle name="Comma_laroux_1_laroux_1_PLDT" xfId="203"/>
    <cellStyle name="Comma_laroux_1_laroux_pldt" xfId="204"/>
    <cellStyle name="Comma_laroux_1_laroux_pldt_PLDT" xfId="205"/>
    <cellStyle name="Comma_laroux_1_pldt" xfId="206"/>
    <cellStyle name="Comma_laroux_1_pldt_1" xfId="207"/>
    <cellStyle name="Comma_laroux_1_pldt_2" xfId="208"/>
    <cellStyle name="Comma_laroux_1_pldt_3" xfId="209"/>
    <cellStyle name="Comma_laroux_12~3SO2" xfId="210"/>
    <cellStyle name="Comma_laroux_12~3SO2_laroux" xfId="211"/>
    <cellStyle name="Comma_laroux_12~3SO2_laroux_PLDT" xfId="212"/>
    <cellStyle name="Comma_laroux_2" xfId="213"/>
    <cellStyle name="Comma_laroux_2_12~3SO2" xfId="214"/>
    <cellStyle name="Comma_laroux_2_12~3SO2_laroux" xfId="215"/>
    <cellStyle name="Comma_laroux_2_12~3SO2_laroux_pldt" xfId="216"/>
    <cellStyle name="Comma_laroux_2_12~3SO2_pldt" xfId="217"/>
    <cellStyle name="Comma_laroux_2_laroux" xfId="218"/>
    <cellStyle name="Comma_laroux_2_laroux_pldt" xfId="219"/>
    <cellStyle name="Comma_laroux_2_pldt" xfId="220"/>
    <cellStyle name="Comma_laroux_2_pldt_1" xfId="221"/>
    <cellStyle name="Comma_laroux_2_pldt_2" xfId="222"/>
    <cellStyle name="Comma_laroux_3" xfId="223"/>
    <cellStyle name="Comma_laroux_3_laroux" xfId="224"/>
    <cellStyle name="Comma_laroux_3_laroux_1" xfId="225"/>
    <cellStyle name="Comma_laroux_3_laroux_pldt" xfId="226"/>
    <cellStyle name="Comma_laroux_3_pldt" xfId="227"/>
    <cellStyle name="Comma_laroux_3_pldt_1" xfId="228"/>
    <cellStyle name="Comma_laroux_4" xfId="229"/>
    <cellStyle name="Comma_laroux_laroux" xfId="230"/>
    <cellStyle name="Comma_laroux_pldt" xfId="231"/>
    <cellStyle name="Comma_laroux_pldt_1" xfId="232"/>
    <cellStyle name="Comma_Line Inst." xfId="233"/>
    <cellStyle name="Comma_MACRO1.XLM" xfId="234"/>
    <cellStyle name="Comma_MATERAL2" xfId="235"/>
    <cellStyle name="Comma_MATERAL2_laroux" xfId="236"/>
    <cellStyle name="Comma_MATERAL2_laroux_pldt" xfId="237"/>
    <cellStyle name="Comma_MATERAL2_pldt" xfId="238"/>
    <cellStyle name="Comma_MKGOCPX" xfId="239"/>
    <cellStyle name="Comma_Mkt Shr" xfId="240"/>
    <cellStyle name="Comma_MOBCPX" xfId="241"/>
    <cellStyle name="Comma_Module1" xfId="242"/>
    <cellStyle name="Comma_mud plant bolted" xfId="243"/>
    <cellStyle name="Comma_NCR-C&amp;W Val" xfId="244"/>
    <cellStyle name="Comma_NCR-Cap intensity" xfId="245"/>
    <cellStyle name="Comma_NCR-Line per Staff" xfId="246"/>
    <cellStyle name="Comma_NCR-Rev dist" xfId="247"/>
    <cellStyle name="Comma_Non-Contract Services" xfId="248"/>
    <cellStyle name="Comma_NSA PRICING" xfId="249"/>
    <cellStyle name="Comma_Op Cost Break" xfId="250"/>
    <cellStyle name="Comma_OSMOCPX" xfId="251"/>
    <cellStyle name="Comma_P&amp;L" xfId="252"/>
    <cellStyle name="Comma_PERSONAL" xfId="253"/>
    <cellStyle name="Comma_PERSONAL_PLDT" xfId="254"/>
    <cellStyle name="Comma_PGMKOCPX" xfId="255"/>
    <cellStyle name="Comma_PGNW1" xfId="256"/>
    <cellStyle name="Comma_PGNW2" xfId="257"/>
    <cellStyle name="Comma_PGNWOCPX" xfId="258"/>
    <cellStyle name="Comma_pldt" xfId="259"/>
    <cellStyle name="Comma_pldt_1" xfId="260"/>
    <cellStyle name="Comma_pldt_1_pldt" xfId="261"/>
    <cellStyle name="Comma_pldt_2" xfId="262"/>
    <cellStyle name="Comma_pldt_3" xfId="263"/>
    <cellStyle name="Comma_pldt_pldt" xfId="264"/>
    <cellStyle name="Comma_Prof_Services_7-22" xfId="265"/>
    <cellStyle name="Comma_Q1 FY96" xfId="266"/>
    <cellStyle name="Comma_Q1 FY96_laroux" xfId="267"/>
    <cellStyle name="Comma_Q1 FY96_laroux_PLDT" xfId="268"/>
    <cellStyle name="Comma_Q2 FY96" xfId="269"/>
    <cellStyle name="Comma_Q2 FY96_laroux" xfId="270"/>
    <cellStyle name="Comma_Q2 FY96_laroux_PLDT" xfId="271"/>
    <cellStyle name="Comma_Q3 FY96" xfId="272"/>
    <cellStyle name="Comma_Q3 FY96_laroux" xfId="273"/>
    <cellStyle name="Comma_Q3 FY96_laroux_PLDT" xfId="274"/>
    <cellStyle name="Comma_Q4 FY96" xfId="275"/>
    <cellStyle name="Comma_Q4 FY96_laroux" xfId="276"/>
    <cellStyle name="Comma_Q4 FY96_laroux_PLDT" xfId="277"/>
    <cellStyle name="Comma_QTR94_95" xfId="278"/>
    <cellStyle name="Comma_QTR94_95_laroux" xfId="279"/>
    <cellStyle name="Comma_QTR94_95_laroux_PLDT" xfId="280"/>
    <cellStyle name="Comma_r1" xfId="281"/>
    <cellStyle name="Comma_r1_laroux" xfId="282"/>
    <cellStyle name="Comma_r1_laroux_PLDT" xfId="283"/>
    <cellStyle name="Comma_Real Opr Cf" xfId="284"/>
    <cellStyle name="Comma_Real Rev per Staff (1)" xfId="285"/>
    <cellStyle name="Comma_Real Rev per Staff (2)" xfId="286"/>
    <cellStyle name="Comma_Region 2-C&amp;W" xfId="287"/>
    <cellStyle name="Comma_Return on Rev" xfId="288"/>
    <cellStyle name="Comma_Rev p line" xfId="289"/>
    <cellStyle name="Comma_ROACE" xfId="290"/>
    <cellStyle name="Comma_ROCF (Tot)" xfId="291"/>
    <cellStyle name="Comma_RQSTFRM" xfId="292"/>
    <cellStyle name="Comma_SAS" xfId="293"/>
    <cellStyle name="Comma_SATOCPX" xfId="294"/>
    <cellStyle name="Comma_SHEET" xfId="295"/>
    <cellStyle name="Comma_Sheet1" xfId="296"/>
    <cellStyle name="Comma_Sheet1_1" xfId="297"/>
    <cellStyle name="Comma_Sheet1_Book6" xfId="298"/>
    <cellStyle name="Comma_Sheet1_laroux" xfId="299"/>
    <cellStyle name="Comma_Sheet1_laroux_1" xfId="300"/>
    <cellStyle name="Comma_Sheet1_laroux_1_pldt" xfId="301"/>
    <cellStyle name="Comma_Sheet1_laroux_laroux" xfId="302"/>
    <cellStyle name="Comma_Sheet1_laroux_laroux_PLDT" xfId="303"/>
    <cellStyle name="Comma_Sheet1_laroux_pldt" xfId="304"/>
    <cellStyle name="Comma_Sheet1_PERSONAL" xfId="305"/>
    <cellStyle name="Comma_Sheet1_pldt" xfId="306"/>
    <cellStyle name="Comma_Sheet4" xfId="307"/>
    <cellStyle name="Comma_Sheet4_Kits (2)" xfId="308"/>
    <cellStyle name="Comma_Sheet4_pldt" xfId="309"/>
    <cellStyle name="Comma_Sheet4_pldt_Kits (2)" xfId="310"/>
    <cellStyle name="Comma_Shipped" xfId="311"/>
    <cellStyle name="Comma_split" xfId="312"/>
    <cellStyle name="Comma_Staff cost%rev" xfId="313"/>
    <cellStyle name="Comma_T_062396" xfId="314"/>
    <cellStyle name="Comma_Terms Defined" xfId="315"/>
    <cellStyle name="Comma_TMSNW1" xfId="316"/>
    <cellStyle name="Comma_TMSNW2" xfId="317"/>
    <cellStyle name="Comma_TMSOCPX" xfId="318"/>
    <cellStyle name="Comma_Total-Rev dist." xfId="319"/>
    <cellStyle name="Comma_VAR1115.XLS" xfId="320"/>
    <cellStyle name="Comma_WIP Chart" xfId="321"/>
    <cellStyle name="Copied" xfId="322"/>
    <cellStyle name="Currency" xfId="323"/>
    <cellStyle name="Currency [0]" xfId="324"/>
    <cellStyle name="Currency [0]_- Summary Info - " xfId="325"/>
    <cellStyle name="Currency [0]_12~3SO2" xfId="326"/>
    <cellStyle name="Currency [0]_3. NSA (2)" xfId="327"/>
    <cellStyle name="Currency [0]_5100 Power" xfId="328"/>
    <cellStyle name="Currency [0]_5100 Power Calculations" xfId="329"/>
    <cellStyle name="Currency [0]_CCOCPX" xfId="330"/>
    <cellStyle name="Currency [0]_Channel Table" xfId="331"/>
    <cellStyle name="Currency [0]_Cur 5100" xfId="332"/>
    <cellStyle name="Currency [0]_Disk Calculations" xfId="333"/>
    <cellStyle name="Currency [0]_E&amp;ONW1" xfId="334"/>
    <cellStyle name="Currency [0]_E&amp;ONW2" xfId="335"/>
    <cellStyle name="Currency [0]_E&amp;OOCPX" xfId="336"/>
    <cellStyle name="Currency [0]_F&amp;COCPX" xfId="337"/>
    <cellStyle name="Currency [0]_Full Year FY96" xfId="338"/>
    <cellStyle name="Currency [0]_groups" xfId="339"/>
    <cellStyle name="Currency [0]_Info" xfId="340"/>
    <cellStyle name="Currency [0]_Inputs" xfId="341"/>
    <cellStyle name="Currency [0]_ITOCPX" xfId="342"/>
    <cellStyle name="Currency [0]_laroux" xfId="343"/>
    <cellStyle name="Currency [0]_laroux_1" xfId="344"/>
    <cellStyle name="Currency [0]_laroux_1_12~3SO2" xfId="345"/>
    <cellStyle name="Currency [0]_laroux_1_laroux" xfId="346"/>
    <cellStyle name="Currency [0]_laroux_1_laroux_1" xfId="347"/>
    <cellStyle name="Currency [0]_laroux_1_laroux_pldt" xfId="348"/>
    <cellStyle name="Currency [0]_laroux_1_pldt" xfId="349"/>
    <cellStyle name="Currency [0]_laroux_1_pldt_1" xfId="350"/>
    <cellStyle name="Currency [0]_laroux_1_pldt_2" xfId="351"/>
    <cellStyle name="Currency [0]_laroux_12~3SO2" xfId="352"/>
    <cellStyle name="Currency [0]_laroux_2" xfId="353"/>
    <cellStyle name="Currency [0]_laroux_2_12~3SO2" xfId="354"/>
    <cellStyle name="Currency [0]_laroux_2_12~3SO2_laroux" xfId="355"/>
    <cellStyle name="Currency [0]_laroux_2_12~3SO2_laroux_pldt" xfId="356"/>
    <cellStyle name="Currency [0]_laroux_2_12~3SO2_pldt" xfId="357"/>
    <cellStyle name="Currency [0]_laroux_2_laroux" xfId="358"/>
    <cellStyle name="Currency [0]_laroux_2_laroux_1" xfId="359"/>
    <cellStyle name="Currency [0]_laroux_2_laroux_pldt" xfId="360"/>
    <cellStyle name="Currency [0]_laroux_2_pldt" xfId="361"/>
    <cellStyle name="Currency [0]_laroux_2_pldt_1" xfId="362"/>
    <cellStyle name="Currency [0]_laroux_2_pldt_2" xfId="363"/>
    <cellStyle name="Currency [0]_laroux_3" xfId="364"/>
    <cellStyle name="Currency [0]_laroux_3_12~3SO2" xfId="365"/>
    <cellStyle name="Currency [0]_laroux_3_12~3SO2_laroux" xfId="366"/>
    <cellStyle name="Currency [0]_laroux_3_12~3SO2_laroux_pldt" xfId="367"/>
    <cellStyle name="Currency [0]_laroux_3_12~3SO2_pldt" xfId="368"/>
    <cellStyle name="Currency [0]_laroux_3_laroux" xfId="369"/>
    <cellStyle name="Currency [0]_laroux_3_laroux_1" xfId="370"/>
    <cellStyle name="Currency [0]_laroux_3_laroux_pldt" xfId="371"/>
    <cellStyle name="Currency [0]_laroux_3_pldt" xfId="372"/>
    <cellStyle name="Currency [0]_laroux_3_pldt_1" xfId="373"/>
    <cellStyle name="Currency [0]_laroux_4" xfId="374"/>
    <cellStyle name="Currency [0]_laroux_4_laroux" xfId="375"/>
    <cellStyle name="Currency [0]_laroux_4_laroux_pldt" xfId="376"/>
    <cellStyle name="Currency [0]_laroux_4_pldt" xfId="377"/>
    <cellStyle name="Currency [0]_laroux_4_pldt_1" xfId="378"/>
    <cellStyle name="Currency [0]_laroux_laroux" xfId="379"/>
    <cellStyle name="Currency [0]_laroux_MATERAL2" xfId="380"/>
    <cellStyle name="Currency [0]_laroux_MATERAL2_pldt" xfId="381"/>
    <cellStyle name="Currency [0]_laroux_mud plant bolted" xfId="382"/>
    <cellStyle name="Currency [0]_laroux_mud plant bolted_laroux" xfId="383"/>
    <cellStyle name="Currency [0]_laroux_mud plant bolted_laroux_pldt" xfId="384"/>
    <cellStyle name="Currency [0]_laroux_mud plant bolted_pldt" xfId="385"/>
    <cellStyle name="Currency [0]_laroux_pldt" xfId="386"/>
    <cellStyle name="Currency [0]_laroux_pldt_1" xfId="387"/>
    <cellStyle name="Currency [0]_MACRO1.XLM" xfId="388"/>
    <cellStyle name="Currency [0]_MATERAL2" xfId="389"/>
    <cellStyle name="Currency [0]_MATERAL2_laroux" xfId="390"/>
    <cellStyle name="Currency [0]_MATERAL2_laroux_pldt" xfId="391"/>
    <cellStyle name="Currency [0]_MATERAL2_pldt" xfId="392"/>
    <cellStyle name="Currency [0]_MKGOCPX" xfId="393"/>
    <cellStyle name="Currency [0]_MOBCPX" xfId="394"/>
    <cellStyle name="Currency [0]_Module1" xfId="395"/>
    <cellStyle name="Currency [0]_mud plant bolted" xfId="396"/>
    <cellStyle name="Currency [0]_mud plant bolted_pldt" xfId="397"/>
    <cellStyle name="Currency [0]_Non-Contract Services" xfId="398"/>
    <cellStyle name="Currency [0]_NSA PRICING" xfId="399"/>
    <cellStyle name="Currency [0]_OSMOCPX" xfId="400"/>
    <cellStyle name="Currency [0]_P&amp;L" xfId="401"/>
    <cellStyle name="Currency [0]_PGMKOCPX" xfId="402"/>
    <cellStyle name="Currency [0]_PGNW1" xfId="403"/>
    <cellStyle name="Currency [0]_PGNW2" xfId="404"/>
    <cellStyle name="Currency [0]_PGNWOCPX" xfId="405"/>
    <cellStyle name="Currency [0]_pldt" xfId="406"/>
    <cellStyle name="Currency [0]_pldt_1" xfId="407"/>
    <cellStyle name="Currency [0]_pldt_1_pldt" xfId="408"/>
    <cellStyle name="Currency [0]_pldt_2" xfId="409"/>
    <cellStyle name="Currency [0]_pldt_3" xfId="410"/>
    <cellStyle name="Currency [0]_pldt_pldt" xfId="411"/>
    <cellStyle name="Currency [0]_Prof_Services_7-22" xfId="412"/>
    <cellStyle name="Currency [0]_Q1 FY96" xfId="413"/>
    <cellStyle name="Currency [0]_Q2 FY96" xfId="414"/>
    <cellStyle name="Currency [0]_Q3 FY96" xfId="415"/>
    <cellStyle name="Currency [0]_Q4 FY96" xfId="416"/>
    <cellStyle name="Currency [0]_QTR94_95" xfId="417"/>
    <cellStyle name="Currency [0]_r1" xfId="418"/>
    <cellStyle name="Currency [0]_r1_laroux" xfId="419"/>
    <cellStyle name="Currency [0]_r1_laroux_pldt" xfId="420"/>
    <cellStyle name="Currency [0]_r1_pldt" xfId="421"/>
    <cellStyle name="Currency [0]_RQSTFRM" xfId="422"/>
    <cellStyle name="Currency [0]_SAS" xfId="423"/>
    <cellStyle name="Currency [0]_SATOCPX" xfId="424"/>
    <cellStyle name="Currency [0]_Sheet1" xfId="425"/>
    <cellStyle name="Currency [0]_Sheet1_1" xfId="426"/>
    <cellStyle name="Currency [0]_Sheet1_Book6" xfId="427"/>
    <cellStyle name="Currency [0]_Sheet1_laroux" xfId="428"/>
    <cellStyle name="Currency [0]_Sheet1_laroux_1" xfId="429"/>
    <cellStyle name="Currency [0]_Sheet1_laroux_1_pldt" xfId="430"/>
    <cellStyle name="Currency [0]_Sheet1_laroux_laroux" xfId="431"/>
    <cellStyle name="Currency [0]_Sheet1_laroux_pldt" xfId="432"/>
    <cellStyle name="Currency [0]_Sheet1_PERSONAL" xfId="433"/>
    <cellStyle name="Currency [0]_Sheet1_pldt" xfId="434"/>
    <cellStyle name="Currency [0]_Sheet4" xfId="435"/>
    <cellStyle name="Currency [0]_Sheet4_Kits (2)" xfId="436"/>
    <cellStyle name="Currency [0]_Sheet4_pldt" xfId="437"/>
    <cellStyle name="Currency [0]_Sheet4_pldt_Kits (2)" xfId="438"/>
    <cellStyle name="Currency [0]_Shipped" xfId="439"/>
    <cellStyle name="Currency [0]_split" xfId="440"/>
    <cellStyle name="Currency [0]_T_062396" xfId="441"/>
    <cellStyle name="Currency [0]_Terms Defined" xfId="442"/>
    <cellStyle name="Currency [0]_TMSNW1" xfId="443"/>
    <cellStyle name="Currency [0]_TMSNW2" xfId="444"/>
    <cellStyle name="Currency [0]_TMSOCPX" xfId="445"/>
    <cellStyle name="Currency [0]_WIP Chart" xfId="446"/>
    <cellStyle name="Currency_- Summary Info - " xfId="447"/>
    <cellStyle name="Currency_12~3SO2" xfId="448"/>
    <cellStyle name="Currency_2. SMARTnet" xfId="449"/>
    <cellStyle name="Currency_3. NSA (2)" xfId="450"/>
    <cellStyle name="Currency_3. On-Site" xfId="451"/>
    <cellStyle name="Currency_5100 Power" xfId="452"/>
    <cellStyle name="Currency_5100 Power Calculations" xfId="453"/>
    <cellStyle name="Currency_CCOCPX" xfId="454"/>
    <cellStyle name="Currency_Channel Table" xfId="455"/>
    <cellStyle name="Currency_Cur 5100" xfId="456"/>
    <cellStyle name="Currency_Disk Calculations" xfId="457"/>
    <cellStyle name="Currency_E&amp;ONW1" xfId="458"/>
    <cellStyle name="Currency_E&amp;ONW2" xfId="459"/>
    <cellStyle name="Currency_E&amp;OOCPX" xfId="460"/>
    <cellStyle name="Currency_F&amp;COCPX" xfId="461"/>
    <cellStyle name="Currency_Full Year FY96" xfId="462"/>
    <cellStyle name="Currency_groups" xfId="463"/>
    <cellStyle name="Currency_Info" xfId="464"/>
    <cellStyle name="Currency_Inputs" xfId="465"/>
    <cellStyle name="Currency_ITOCPX" xfId="466"/>
    <cellStyle name="Currency_laroux" xfId="467"/>
    <cellStyle name="Currency_laroux_1" xfId="468"/>
    <cellStyle name="Currency_laroux_1_12~3SO2" xfId="469"/>
    <cellStyle name="Currency_laroux_1_laroux" xfId="470"/>
    <cellStyle name="Currency_laroux_1_laroux_1" xfId="471"/>
    <cellStyle name="Currency_laroux_1_laroux_pldt" xfId="472"/>
    <cellStyle name="Currency_laroux_1_pldt" xfId="473"/>
    <cellStyle name="Currency_laroux_1_pldt_1" xfId="474"/>
    <cellStyle name="Currency_laroux_1_pldt_2" xfId="475"/>
    <cellStyle name="Currency_laroux_12~3SO2" xfId="476"/>
    <cellStyle name="Currency_laroux_2" xfId="477"/>
    <cellStyle name="Currency_laroux_2_12~3SO2" xfId="478"/>
    <cellStyle name="Currency_laroux_2_12~3SO2_laroux" xfId="479"/>
    <cellStyle name="Currency_laroux_2_12~3SO2_laroux_pldt" xfId="480"/>
    <cellStyle name="Currency_laroux_2_12~3SO2_pldt" xfId="481"/>
    <cellStyle name="Currency_laroux_2_laroux" xfId="482"/>
    <cellStyle name="Currency_laroux_2_laroux_1" xfId="483"/>
    <cellStyle name="Currency_laroux_2_laroux_pldt" xfId="484"/>
    <cellStyle name="Currency_laroux_2_laroux_PLDT_1" xfId="485"/>
    <cellStyle name="Currency_laroux_2_pldt" xfId="486"/>
    <cellStyle name="Currency_laroux_2_pldt_1" xfId="487"/>
    <cellStyle name="Currency_laroux_2_pldt_2" xfId="488"/>
    <cellStyle name="Currency_laroux_2_pldt_PLDT" xfId="489"/>
    <cellStyle name="Currency_laroux_3" xfId="490"/>
    <cellStyle name="Currency_laroux_3_12~3SO2" xfId="491"/>
    <cellStyle name="Currency_laroux_3_12~3SO2_laroux" xfId="492"/>
    <cellStyle name="Currency_laroux_3_12~3SO2_laroux_pldt" xfId="493"/>
    <cellStyle name="Currency_laroux_3_12~3SO2_laroux_PLDT_1" xfId="494"/>
    <cellStyle name="Currency_laroux_3_12~3SO2_pldt" xfId="495"/>
    <cellStyle name="Currency_laroux_3_12~3SO2_pldt_PLDT" xfId="496"/>
    <cellStyle name="Currency_laroux_3_laroux" xfId="497"/>
    <cellStyle name="Currency_laroux_3_laroux_1" xfId="498"/>
    <cellStyle name="Currency_laroux_3_laroux_pldt" xfId="499"/>
    <cellStyle name="Currency_laroux_3_laroux_PLDT_1" xfId="500"/>
    <cellStyle name="Currency_laroux_3_pldt" xfId="501"/>
    <cellStyle name="Currency_laroux_3_pldt_1" xfId="502"/>
    <cellStyle name="Currency_laroux_3_pldt_PLDT" xfId="503"/>
    <cellStyle name="Currency_laroux_4" xfId="504"/>
    <cellStyle name="Currency_laroux_4_laroux" xfId="505"/>
    <cellStyle name="Currency_laroux_4_laroux_pldt" xfId="506"/>
    <cellStyle name="Currency_laroux_4_laroux_PLDT_1" xfId="507"/>
    <cellStyle name="Currency_laroux_4_pldt" xfId="508"/>
    <cellStyle name="Currency_laroux_4_pldt_1" xfId="509"/>
    <cellStyle name="Currency_laroux_4_pldt_PLDT" xfId="510"/>
    <cellStyle name="Currency_laroux_laroux" xfId="511"/>
    <cellStyle name="Currency_laroux_pldt" xfId="512"/>
    <cellStyle name="Currency_laroux_pldt_1" xfId="513"/>
    <cellStyle name="Currency_MACRO1.XLM" xfId="514"/>
    <cellStyle name="Currency_MATERAL2" xfId="515"/>
    <cellStyle name="Currency_MATERAL2_laroux" xfId="516"/>
    <cellStyle name="Currency_MATERAL2_laroux_pldt" xfId="517"/>
    <cellStyle name="Currency_MATERAL2_laroux_PLDT_1" xfId="518"/>
    <cellStyle name="Currency_MATERAL2_pldt" xfId="519"/>
    <cellStyle name="Currency_MATERAL2_pldt_PLDT" xfId="520"/>
    <cellStyle name="Currency_MKGOCPX" xfId="521"/>
    <cellStyle name="Currency_MOBCPX" xfId="522"/>
    <cellStyle name="Currency_Module1" xfId="523"/>
    <cellStyle name="Currency_mud plant bolted" xfId="524"/>
    <cellStyle name="Currency_mud plant bolted_laroux" xfId="525"/>
    <cellStyle name="Currency_mud plant bolted_laroux_pldt" xfId="526"/>
    <cellStyle name="Currency_mud plant bolted_pldt" xfId="527"/>
    <cellStyle name="Currency_Non-Contract Services" xfId="528"/>
    <cellStyle name="Currency_NSA PRICING" xfId="529"/>
    <cellStyle name="Currency_OSMOCPX" xfId="530"/>
    <cellStyle name="Currency_P&amp;L" xfId="531"/>
    <cellStyle name="Currency_PGMKOCPX" xfId="532"/>
    <cellStyle name="Currency_PGNW1" xfId="533"/>
    <cellStyle name="Currency_PGNW2" xfId="534"/>
    <cellStyle name="Currency_PGNWOCPX" xfId="535"/>
    <cellStyle name="Currency_pldt" xfId="536"/>
    <cellStyle name="Currency_pldt_1" xfId="537"/>
    <cellStyle name="Currency_pldt_1_pldt" xfId="538"/>
    <cellStyle name="Currency_pldt_2" xfId="539"/>
    <cellStyle name="Currency_pldt_3" xfId="540"/>
    <cellStyle name="Currency_pldt_pldt" xfId="541"/>
    <cellStyle name="Currency_Prof_Services_7-22" xfId="542"/>
    <cellStyle name="Currency_Q1 FY96" xfId="543"/>
    <cellStyle name="Currency_Q2 FY96" xfId="544"/>
    <cellStyle name="Currency_Q3 FY96" xfId="545"/>
    <cellStyle name="Currency_Q4 FY96" xfId="546"/>
    <cellStyle name="Currency_QTR94_95" xfId="547"/>
    <cellStyle name="Currency_r1" xfId="548"/>
    <cellStyle name="Currency_r1_laroux" xfId="549"/>
    <cellStyle name="Currency_r1_laroux_pldt" xfId="550"/>
    <cellStyle name="Currency_r1_pldt" xfId="551"/>
    <cellStyle name="Currency_RQSTFRM" xfId="552"/>
    <cellStyle name="Currency_SAS" xfId="553"/>
    <cellStyle name="Currency_SATOCPX" xfId="554"/>
    <cellStyle name="Currency_Sheet1" xfId="555"/>
    <cellStyle name="Currency_Sheet1_1" xfId="556"/>
    <cellStyle name="Currency_Sheet1_Book6" xfId="557"/>
    <cellStyle name="Currency_Sheet1_laroux" xfId="558"/>
    <cellStyle name="Currency_Sheet1_laroux_1" xfId="559"/>
    <cellStyle name="Currency_Sheet1_laroux_1_pldt" xfId="560"/>
    <cellStyle name="Currency_Sheet1_laroux_laroux" xfId="561"/>
    <cellStyle name="Currency_Sheet1_laroux_pldt" xfId="562"/>
    <cellStyle name="Currency_Sheet1_PERSONAL" xfId="563"/>
    <cellStyle name="Currency_Sheet1_pldt" xfId="564"/>
    <cellStyle name="Currency_Sheet4" xfId="565"/>
    <cellStyle name="Currency_Sheet4_Kits (2)" xfId="566"/>
    <cellStyle name="Currency_Sheet4_pldt" xfId="567"/>
    <cellStyle name="Currency_Sheet4_pldt_Kits (2)" xfId="568"/>
    <cellStyle name="Currency_Shipped" xfId="569"/>
    <cellStyle name="Currency_split" xfId="570"/>
    <cellStyle name="Currency_T_062396" xfId="571"/>
    <cellStyle name="Currency_Terms Defined" xfId="572"/>
    <cellStyle name="Currency_TMSNW1" xfId="573"/>
    <cellStyle name="Currency_TMSNW2" xfId="574"/>
    <cellStyle name="Currency_TMSOCPX" xfId="575"/>
    <cellStyle name="Currency_WIP Chart" xfId="576"/>
    <cellStyle name="d_yield" xfId="577"/>
    <cellStyle name="d_yield_Sheet1" xfId="578"/>
    <cellStyle name="Entered" xfId="579"/>
    <cellStyle name="eps" xfId="580"/>
    <cellStyle name="eps$" xfId="581"/>
    <cellStyle name="eps$_2nd Quarter" xfId="582"/>
    <cellStyle name="eps$_Fcall_Header" xfId="583"/>
    <cellStyle name="eps$_MPSMacros4AppServer" xfId="584"/>
    <cellStyle name="eps$_NEC MODEL" xfId="585"/>
    <cellStyle name="eps$_PLDT" xfId="586"/>
    <cellStyle name="eps$_Qtr comps" xfId="587"/>
    <cellStyle name="eps$_Sheet1" xfId="588"/>
    <cellStyle name="eps$_Sheet2" xfId="589"/>
    <cellStyle name="eps$A" xfId="590"/>
    <cellStyle name="eps$A_2nd Quarter" xfId="591"/>
    <cellStyle name="eps$A_Fcall_Header" xfId="592"/>
    <cellStyle name="eps$A_PLDT" xfId="593"/>
    <cellStyle name="eps$A_Qtr comps" xfId="594"/>
    <cellStyle name="eps$E" xfId="595"/>
    <cellStyle name="eps_2nd Quarter" xfId="596"/>
    <cellStyle name="eps_Fcall_Header" xfId="597"/>
    <cellStyle name="eps_MPSMacros4AppServer" xfId="598"/>
    <cellStyle name="eps_NEC MODEL" xfId="599"/>
    <cellStyle name="eps_PLDT" xfId="600"/>
    <cellStyle name="eps_Qtr comps" xfId="601"/>
    <cellStyle name="eps_Sheet1" xfId="602"/>
    <cellStyle name="eps_Sheet2" xfId="603"/>
    <cellStyle name="epsA" xfId="604"/>
    <cellStyle name="epsE" xfId="605"/>
    <cellStyle name="Followed Hyperlink" xfId="606"/>
    <cellStyle name="fy_eps$" xfId="607"/>
    <cellStyle name="g_rate" xfId="608"/>
    <cellStyle name="g_rate_Sheet1" xfId="609"/>
    <cellStyle name="Grey" xfId="610"/>
    <cellStyle name="Header1" xfId="611"/>
    <cellStyle name="Header2" xfId="612"/>
    <cellStyle name="Hyperlink" xfId="613"/>
    <cellStyle name="Hyperlink_PLDT" xfId="614"/>
    <cellStyle name="Input [yellow]" xfId="615"/>
    <cellStyle name="m" xfId="616"/>
    <cellStyle name="m$" xfId="617"/>
    <cellStyle name="m$_2nd Quarter" xfId="618"/>
    <cellStyle name="m$_Fcall_Header" xfId="619"/>
    <cellStyle name="m$_MPSMacros4AppServer" xfId="620"/>
    <cellStyle name="m$_PLDT" xfId="621"/>
    <cellStyle name="m$_Qtr comps" xfId="622"/>
    <cellStyle name="mm" xfId="623"/>
    <cellStyle name="mm_2nd Quarter" xfId="624"/>
    <cellStyle name="mm_Fcall_Header" xfId="625"/>
    <cellStyle name="mm_MPSMacros4AppServer" xfId="626"/>
    <cellStyle name="mm_NEC MODEL" xfId="627"/>
    <cellStyle name="mm_PLDT" xfId="628"/>
    <cellStyle name="mm_Qtr comps" xfId="629"/>
    <cellStyle name="mm_Sheet1" xfId="630"/>
    <cellStyle name="mm_Sheet2" xfId="631"/>
    <cellStyle name="Normal - Style1" xfId="632"/>
    <cellStyle name="Normal - Style1_PLDT" xfId="633"/>
    <cellStyle name="Normal_ - Coversheet - " xfId="634"/>
    <cellStyle name="Normal_- Summary Info - " xfId="635"/>
    <cellStyle name="Normal_- Summary Info - _1" xfId="636"/>
    <cellStyle name="Normal_#10-Headcount" xfId="637"/>
    <cellStyle name="Normal_#5-Headcount_1" xfId="638"/>
    <cellStyle name="Normal_#6-Headcount" xfId="639"/>
    <cellStyle name="Normal_12~3SO2" xfId="640"/>
    <cellStyle name="Normal_2. SMARTnet" xfId="641"/>
    <cellStyle name="Normal_3. NSA (2)" xfId="642"/>
    <cellStyle name="Normal_Approved_Not_Shipping_1" xfId="643"/>
    <cellStyle name="Normal_April" xfId="644"/>
    <cellStyle name="Normal_Assortment &amp; Depth" xfId="645"/>
    <cellStyle name="Normal_Assortment-DMR" xfId="646"/>
    <cellStyle name="Normal_Assortment-Retail" xfId="647"/>
    <cellStyle name="Normal_Attach Rates" xfId="648"/>
    <cellStyle name="Normal_Balance Sheet" xfId="649"/>
    <cellStyle name="Normal_Bid" xfId="650"/>
    <cellStyle name="Normal_Book2" xfId="651"/>
    <cellStyle name="Normal_Bus. Impact" xfId="652"/>
    <cellStyle name="Normal_Canada" xfId="653"/>
    <cellStyle name="Normal_Capex" xfId="654"/>
    <cellStyle name="Normal_Capex per line" xfId="655"/>
    <cellStyle name="Normal_Capex%rev" xfId="656"/>
    <cellStyle name="Normal_Capital" xfId="657"/>
    <cellStyle name="Normal_Capital (2)" xfId="658"/>
    <cellStyle name="Normal_Cash Flows" xfId="659"/>
    <cellStyle name="Normal_C-Cap intensity" xfId="660"/>
    <cellStyle name="Normal_C-Capex%rev" xfId="661"/>
    <cellStyle name="Normal_CCOCPX" xfId="662"/>
    <cellStyle name="Normal_Certs Q2" xfId="663"/>
    <cellStyle name="Normal_Certs Q2 (2)" xfId="664"/>
    <cellStyle name="Normal_Channel - Actual" xfId="665"/>
    <cellStyle name="Normal_Channel Table" xfId="666"/>
    <cellStyle name="Normal_Channel Table_1" xfId="667"/>
    <cellStyle name="Normal_Channel Table_1_Macro2" xfId="668"/>
    <cellStyle name="Normal_Channel Table_1_Module1" xfId="669"/>
    <cellStyle name="Normal_Channel Table_2" xfId="670"/>
    <cellStyle name="Normal_Channel Table_Channel Table" xfId="671"/>
    <cellStyle name="Normal_Channel Table_Macro2" xfId="672"/>
    <cellStyle name="Normal_Channel Table_Module1" xfId="673"/>
    <cellStyle name="Normal_ChartData" xfId="674"/>
    <cellStyle name="Normal_Cht-Capex per line" xfId="675"/>
    <cellStyle name="Normal_Cht-Cum Real Opr Cf" xfId="676"/>
    <cellStyle name="Normal_Cht-Dep%Rev" xfId="677"/>
    <cellStyle name="Normal_Cht-Real Opr Cf" xfId="678"/>
    <cellStyle name="Normal_Cht-Rev dist" xfId="679"/>
    <cellStyle name="Normal_Cht-Rev p line" xfId="680"/>
    <cellStyle name="Normal_Cht-Rev per Staff" xfId="681"/>
    <cellStyle name="Normal_Cht-Staff cost%revenue" xfId="682"/>
    <cellStyle name="Normal_C-Line per Staff" xfId="683"/>
    <cellStyle name="Normal_C-lines distribution" xfId="684"/>
    <cellStyle name="Normal_Code" xfId="685"/>
    <cellStyle name="Normal_Comp Sheet" xfId="686"/>
    <cellStyle name="Normal_Consulting" xfId="687"/>
    <cellStyle name="Normal_C-Orig PLDT lines" xfId="688"/>
    <cellStyle name="Normal_Cost Control" xfId="689"/>
    <cellStyle name="Normal_Cost Summ" xfId="690"/>
    <cellStyle name="Normal_Cover" xfId="691"/>
    <cellStyle name="Normal_Co-wide Monthly" xfId="692"/>
    <cellStyle name="Normal_C-Ret on Rev" xfId="693"/>
    <cellStyle name="Normal_C-ROACE" xfId="694"/>
    <cellStyle name="Normal_CROCF" xfId="695"/>
    <cellStyle name="Normal_Cum Real Opr Cf" xfId="696"/>
    <cellStyle name="Normal_Cur 5100" xfId="697"/>
    <cellStyle name="Normal_Cust Type" xfId="698"/>
    <cellStyle name="Normal_D&amp;H &amp; GT 051796" xfId="699"/>
    <cellStyle name="Normal_Data for Geog" xfId="700"/>
    <cellStyle name="Normal_Demand Fcst." xfId="701"/>
    <cellStyle name="Normal_Dep%Rev" xfId="702"/>
    <cellStyle name="Normal_Dialog1" xfId="703"/>
    <cellStyle name="Normal_Dialog1_1" xfId="704"/>
    <cellStyle name="Normal_Dialog1_2" xfId="705"/>
    <cellStyle name="Normal_Dialog1_Dialog1" xfId="706"/>
    <cellStyle name="Normal_Dialog1_Module1" xfId="707"/>
    <cellStyle name="Normal_Disclosure Statement" xfId="708"/>
    <cellStyle name="Normal_div &amp; cat detl rpt" xfId="709"/>
    <cellStyle name="Normal_DMR by Div" xfId="710"/>
    <cellStyle name="Normal_E&amp;ONW1" xfId="711"/>
    <cellStyle name="Normal_E&amp;ONW2" xfId="712"/>
    <cellStyle name="Normal_E&amp;OOCPX" xfId="713"/>
    <cellStyle name="Normal_ELS WIP" xfId="714"/>
    <cellStyle name="Normal_EPS" xfId="715"/>
    <cellStyle name="Normal_EUCU" xfId="716"/>
    <cellStyle name="Normal_EUCU Cust Seg Analysis (B)" xfId="717"/>
    <cellStyle name="Normal_EUMYR_FY97.xls Chart 1" xfId="718"/>
    <cellStyle name="Normal_EUMYR_FY97.xls Chart 2" xfId="719"/>
    <cellStyle name="Normal_EUYER" xfId="720"/>
    <cellStyle name="Normal_F&amp;COCPX" xfId="721"/>
    <cellStyle name="Normal_FCall Header" xfId="722"/>
    <cellStyle name="Normal_Fcall_Header" xfId="723"/>
    <cellStyle name="Normal_FinalReport" xfId="724"/>
    <cellStyle name="Normal_FinalReport (2)" xfId="725"/>
    <cellStyle name="Normal_FinalReport (3)" xfId="726"/>
    <cellStyle name="Normal_Focus goals" xfId="727"/>
    <cellStyle name="Normal_Forecast" xfId="728"/>
    <cellStyle name="Normal_Full Year FY96" xfId="729"/>
    <cellStyle name="Normal_FY97 RevSum - Channel Pres View" xfId="730"/>
    <cellStyle name="Normal_Geography View" xfId="731"/>
    <cellStyle name="Normal_groups" xfId="732"/>
    <cellStyle name="Normal_Guidelines" xfId="733"/>
    <cellStyle name="Normal_HC 1" xfId="734"/>
    <cellStyle name="Normal_HC 2" xfId="735"/>
    <cellStyle name="Normal_HEADCONT" xfId="736"/>
    <cellStyle name="Normal_Headcount" xfId="737"/>
    <cellStyle name="Normal_Holiday Bundles" xfId="738"/>
    <cellStyle name="Normal_Holiday Bundles (2)" xfId="739"/>
    <cellStyle name="Normal_IM Rebate Q2 SKUs" xfId="740"/>
    <cellStyle name="Normal_IM Rebate Q2 SKUs (2)" xfId="741"/>
    <cellStyle name="Normal_IM Rules and Procedures" xfId="742"/>
    <cellStyle name="Normal_Info" xfId="743"/>
    <cellStyle name="Normal_Inputs" xfId="744"/>
    <cellStyle name="Normal_Introduction" xfId="745"/>
    <cellStyle name="Normal_Introduction_1" xfId="746"/>
    <cellStyle name="Normal_Inventory" xfId="747"/>
    <cellStyle name="Normal_IRR" xfId="748"/>
    <cellStyle name="Normal_ITOCPX" xfId="749"/>
    <cellStyle name="Normal_laroux" xfId="750"/>
    <cellStyle name="Normal_laroux_1" xfId="751"/>
    <cellStyle name="Normal_laroux_1_12~3SO2" xfId="752"/>
    <cellStyle name="Normal_laroux_1_laroux" xfId="753"/>
    <cellStyle name="Normal_laroux_1_laroux_1" xfId="754"/>
    <cellStyle name="Normal_laroux_1_laroux_pldt" xfId="755"/>
    <cellStyle name="Normal_laroux_1_pldt" xfId="756"/>
    <cellStyle name="Normal_laroux_1_pldt_1" xfId="757"/>
    <cellStyle name="Normal_laroux_12~3SO2" xfId="758"/>
    <cellStyle name="Normal_laroux_2" xfId="759"/>
    <cellStyle name="Normal_laroux_2_laroux" xfId="760"/>
    <cellStyle name="Normal_laroux_2_laroux_1" xfId="761"/>
    <cellStyle name="Normal_laroux_2_laroux_1_pldt" xfId="762"/>
    <cellStyle name="Normal_laroux_2_laroux_2" xfId="763"/>
    <cellStyle name="Normal_laroux_2_laroux_pldt" xfId="764"/>
    <cellStyle name="Normal_laroux_2_laroux_pldt_1" xfId="765"/>
    <cellStyle name="Normal_laroux_2_pldt" xfId="766"/>
    <cellStyle name="Normal_laroux_2_pldt_1" xfId="767"/>
    <cellStyle name="Normal_laroux_2_pldt_2" xfId="768"/>
    <cellStyle name="Normal_laroux_3" xfId="769"/>
    <cellStyle name="Normal_laroux_3_laroux" xfId="770"/>
    <cellStyle name="Normal_laroux_3_laroux_1" xfId="771"/>
    <cellStyle name="Normal_laroux_3_laroux_1_pldt" xfId="772"/>
    <cellStyle name="Normal_laroux_3_laroux_2" xfId="773"/>
    <cellStyle name="Normal_laroux_3_laroux_pldt" xfId="774"/>
    <cellStyle name="Normal_laroux_3_laroux_pldt_1" xfId="775"/>
    <cellStyle name="Normal_laroux_3_pldt" xfId="776"/>
    <cellStyle name="Normal_laroux_3_pldt_1" xfId="777"/>
    <cellStyle name="Normal_laroux_3_pldt_2" xfId="778"/>
    <cellStyle name="Normal_laroux_4" xfId="779"/>
    <cellStyle name="Normal_laroux_4_laroux" xfId="780"/>
    <cellStyle name="Normal_laroux_4_laroux_1" xfId="781"/>
    <cellStyle name="Normal_laroux_4_laroux_1_PLDT" xfId="782"/>
    <cellStyle name="Normal_laroux_4_laroux_pldt" xfId="783"/>
    <cellStyle name="Normal_laroux_4_laroux_pldt_PLDT" xfId="784"/>
    <cellStyle name="Normal_laroux_4_pldt" xfId="785"/>
    <cellStyle name="Normal_laroux_4_pldt_1" xfId="786"/>
    <cellStyle name="Normal_laroux_4_pldt_2" xfId="787"/>
    <cellStyle name="Normal_laroux_5" xfId="788"/>
    <cellStyle name="Normal_laroux_5_pldt" xfId="789"/>
    <cellStyle name="Normal_laroux_5_pldt_1" xfId="790"/>
    <cellStyle name="Normal_laroux_6" xfId="791"/>
    <cellStyle name="Normal_laroux_6_pldt" xfId="792"/>
    <cellStyle name="Normal_laroux_6_pldt_1" xfId="793"/>
    <cellStyle name="Normal_laroux_6_pldt_2" xfId="794"/>
    <cellStyle name="Normal_laroux_7" xfId="795"/>
    <cellStyle name="Normal_laroux_7_pldt" xfId="796"/>
    <cellStyle name="Normal_laroux_8" xfId="797"/>
    <cellStyle name="Normal_laroux_laroux" xfId="798"/>
    <cellStyle name="Normal_laroux_laroux_1" xfId="799"/>
    <cellStyle name="Normal_laroux_laroux_1_pldt" xfId="800"/>
    <cellStyle name="Normal_laroux_laroux_2" xfId="801"/>
    <cellStyle name="Normal_laroux_laroux_pldt" xfId="802"/>
    <cellStyle name="Normal_laroux_laroux_pldt_1" xfId="803"/>
    <cellStyle name="Normal_laroux_pldt" xfId="804"/>
    <cellStyle name="Normal_laroux_pldt_1" xfId="805"/>
    <cellStyle name="Normal_laroux_pldt_2" xfId="806"/>
    <cellStyle name="Normal_laroux_pldt_3" xfId="807"/>
    <cellStyle name="Normal_laroux_pldt_3_PLDT" xfId="808"/>
    <cellStyle name="Normal_Line Inst." xfId="809"/>
    <cellStyle name="Normal_Linked &gt;&gt;Slide #8 - YTD Results" xfId="810"/>
    <cellStyle name="Normal_Location Total " xfId="811"/>
    <cellStyle name="Normal_Locations" xfId="812"/>
    <cellStyle name="Normal_MACRO1.XLM" xfId="813"/>
    <cellStyle name="Normal_Macro2" xfId="814"/>
    <cellStyle name="Normal_Maintenance" xfId="815"/>
    <cellStyle name="Normal_MarketingActBud" xfId="816"/>
    <cellStyle name="Normal_MarketingDetail" xfId="817"/>
    <cellStyle name="Normal_MATERAL2" xfId="818"/>
    <cellStyle name="Normal_MCOE Summary" xfId="819"/>
    <cellStyle name="Normal_MCOE Summary (2)" xfId="820"/>
    <cellStyle name="Normal_MCOE Summary (3)" xfId="821"/>
    <cellStyle name="Normal_MCOE Summary (4)" xfId="822"/>
    <cellStyle name="Normal_MCOE Summary (5)" xfId="823"/>
    <cellStyle name="Normal_MCOE Summary (6)" xfId="824"/>
    <cellStyle name="Normal_MCOE Summary (7)" xfId="825"/>
    <cellStyle name="Normal_MCOE Summary (8)" xfId="826"/>
    <cellStyle name="Normal_MCOE Summary (9)" xfId="827"/>
    <cellStyle name="Normal_MDF" xfId="828"/>
    <cellStyle name="Normal_MDF (2)" xfId="829"/>
    <cellStyle name="Normal_MDF (2)_1" xfId="830"/>
    <cellStyle name="Normal_MDF (2)_Reslr Mktng" xfId="831"/>
    <cellStyle name="Normal_MDF_1" xfId="832"/>
    <cellStyle name="Normal_MDF_MDF (2)" xfId="833"/>
    <cellStyle name="Normal_MDF_MDF (2)_Reslr Mktng" xfId="834"/>
    <cellStyle name="Normal_MDF_Reslr Mktng" xfId="835"/>
    <cellStyle name="Normal_Menu" xfId="836"/>
    <cellStyle name="Normal_MKGOCPX" xfId="837"/>
    <cellStyle name="Normal_Mkt Shr" xfId="838"/>
    <cellStyle name="Normal_MOBCPX" xfId="839"/>
    <cellStyle name="Normal_Module1" xfId="840"/>
    <cellStyle name="Normal_Module1_1" xfId="841"/>
    <cellStyle name="Normal_Module1_Book6" xfId="842"/>
    <cellStyle name="Normal_Module1_Dialog1" xfId="843"/>
    <cellStyle name="Normal_Module1_laroux" xfId="844"/>
    <cellStyle name="Normal_Module1_laroux_pldt" xfId="845"/>
    <cellStyle name="Normal_Module1_PERSONAL" xfId="846"/>
    <cellStyle name="Normal_Module1_pldt" xfId="847"/>
    <cellStyle name="Normal_Module5" xfId="848"/>
    <cellStyle name="Normal_MSNA" xfId="849"/>
    <cellStyle name="Normal_mssReport" xfId="850"/>
    <cellStyle name="Normal_MTDP&amp;L" xfId="851"/>
    <cellStyle name="Normal_MTDRevSum" xfId="852"/>
    <cellStyle name="Normal_mud plant bolted" xfId="853"/>
    <cellStyle name="Normal_NCR-C&amp;W Val" xfId="854"/>
    <cellStyle name="Normal_NCR-Cap intensity" xfId="855"/>
    <cellStyle name="Normal_NCR-Line per Staff" xfId="856"/>
    <cellStyle name="Normal_NCR-Rev dist" xfId="857"/>
    <cellStyle name="Normal_Non-Contract Services" xfId="858"/>
    <cellStyle name="Normal_NSA PRICING" xfId="859"/>
    <cellStyle name="Normal_OMNIJOB" xfId="860"/>
    <cellStyle name="Normal_Op Cost Break" xfId="861"/>
    <cellStyle name="Normal_OperResults" xfId="862"/>
    <cellStyle name="Normal_OrgChart" xfId="863"/>
    <cellStyle name="Normal_OrgChart_1" xfId="864"/>
    <cellStyle name="Normal_Orig Flat File fr Dan" xfId="865"/>
    <cellStyle name="Normal_OSMOCPX" xfId="866"/>
    <cellStyle name="Normal_Outlet96 View (B)" xfId="867"/>
    <cellStyle name="Normal_Overview" xfId="868"/>
    <cellStyle name="Normal_P&amp;L" xfId="869"/>
    <cellStyle name="Normal_Pasted Pictures" xfId="870"/>
    <cellStyle name="Normal_PCMAP1" xfId="871"/>
    <cellStyle name="Normal_PCMAP1 (B)" xfId="872"/>
    <cellStyle name="Normal_PCMAP2 (B)" xfId="873"/>
    <cellStyle name="Normal_PD_Oppty_Map" xfId="874"/>
    <cellStyle name="Normal_PERSONAL" xfId="875"/>
    <cellStyle name="Normal_PERSONAL_1" xfId="876"/>
    <cellStyle name="Normal_PERSONAL_1_laroux" xfId="877"/>
    <cellStyle name="Normal_PERSONAL_2" xfId="878"/>
    <cellStyle name="Normal_PERSONAL_2_laroux" xfId="879"/>
    <cellStyle name="Normal_PERSONAL_laroux" xfId="880"/>
    <cellStyle name="Normal_PGMKOCPX" xfId="881"/>
    <cellStyle name="Normal_PGNW1" xfId="882"/>
    <cellStyle name="Normal_PGNW2" xfId="883"/>
    <cellStyle name="Normal_PGNWOCPX" xfId="884"/>
    <cellStyle name="Normal_Pivot" xfId="885"/>
    <cellStyle name="Normal_Pivot - Drill Down" xfId="886"/>
    <cellStyle name="Normal_Pivot (2)" xfId="887"/>
    <cellStyle name="Normal_PivotReport" xfId="888"/>
    <cellStyle name="Normal_PLDT" xfId="889"/>
    <cellStyle name="Normal_PLDT_1" xfId="890"/>
    <cellStyle name="Normal_PLDT_2" xfId="891"/>
    <cellStyle name="Normal_pldt_3" xfId="892"/>
    <cellStyle name="Normal_pldt_4" xfId="893"/>
    <cellStyle name="Normal_pldt_5" xfId="894"/>
    <cellStyle name="Normal_pldt_6" xfId="895"/>
    <cellStyle name="Normal_pldt_6_PLDT" xfId="896"/>
    <cellStyle name="Normal_Prep4Submission Code" xfId="897"/>
    <cellStyle name="Normal_Prep4Submission Code_1" xfId="898"/>
    <cellStyle name="Normal_Pricing1" xfId="899"/>
    <cellStyle name="Normal_Pricing2" xfId="900"/>
    <cellStyle name="Normal_PricVol" xfId="901"/>
    <cellStyle name="Normal_PriorYear" xfId="902"/>
    <cellStyle name="Normal_Prod Div" xfId="903"/>
    <cellStyle name="Normal_PROD SALES" xfId="904"/>
    <cellStyle name="Normal_PROD SALES by Region Pg 2" xfId="905"/>
    <cellStyle name="Normal_PRODUCT" xfId="906"/>
    <cellStyle name="Normal_Prof_Services_7-22" xfId="907"/>
    <cellStyle name="Normal_Proposed Mktg Spend" xfId="908"/>
    <cellStyle name="Normal_PRS" xfId="909"/>
    <cellStyle name="Normal_Purch-AR" xfId="910"/>
    <cellStyle name="Normal_Q1 FY96" xfId="911"/>
    <cellStyle name="Normal_Q2 FY96" xfId="912"/>
    <cellStyle name="Normal_Q3 FY96" xfId="913"/>
    <cellStyle name="Normal_Q4 FY96" xfId="914"/>
    <cellStyle name="Normal_QTR94_95" xfId="915"/>
    <cellStyle name="Normal_r1" xfId="916"/>
    <cellStyle name="Normal_Real Opr Cf" xfId="917"/>
    <cellStyle name="Normal_Real Rev per Staff (1)" xfId="918"/>
    <cellStyle name="Normal_Real Rev per Staff (2)" xfId="919"/>
    <cellStyle name="Normal_Region 2-C&amp;W" xfId="920"/>
    <cellStyle name="Normal_Reporting Status" xfId="921"/>
    <cellStyle name="Normal_Reporting Status_1" xfId="922"/>
    <cellStyle name="Normal_Reporting Status_EUCU Cust Seg Analysis (B)" xfId="923"/>
    <cellStyle name="Normal_Reporting Status_Outlet96 View (B)" xfId="924"/>
    <cellStyle name="Normal_Reporting Status_PCMAP1 (B)" xfId="925"/>
    <cellStyle name="Normal_Reporting Status_PCMAP2 (B)" xfId="926"/>
    <cellStyle name="Normal_Reporting Status_Subsegment Charts (B)" xfId="927"/>
    <cellStyle name="Normal_Req Summ" xfId="928"/>
    <cellStyle name="Normal_Reseller Mktng" xfId="929"/>
    <cellStyle name="Normal_Reslr Mktng" xfId="930"/>
    <cellStyle name="Normal_Reslr Mktng_1" xfId="931"/>
    <cellStyle name="Normal_Retail By Div" xfId="932"/>
    <cellStyle name="Normal_Return on Rev" xfId="933"/>
    <cellStyle name="Normal_Rev p line" xfId="934"/>
    <cellStyle name="Normal_Revenues" xfId="935"/>
    <cellStyle name="Normal_RevSum" xfId="936"/>
    <cellStyle name="Normal_RevSum (2)" xfId="937"/>
    <cellStyle name="Normal_ROACE" xfId="938"/>
    <cellStyle name="Normal_ROCF (Tot)" xfId="939"/>
    <cellStyle name="Normal_RQSTFRM" xfId="940"/>
    <cellStyle name="Normal_Rsllr Monthly Market Share" xfId="941"/>
    <cellStyle name="Normal_RslrSales.xls Chart 3" xfId="942"/>
    <cellStyle name="Normal_RslrSales.xls Chart 4" xfId="943"/>
    <cellStyle name="Normal_RslrSales.xls Chart 5" xfId="944"/>
    <cellStyle name="Normal_RTL DMR Rank" xfId="945"/>
    <cellStyle name="Normal_S&amp;MCosts" xfId="946"/>
    <cellStyle name="Normal_SAS" xfId="947"/>
    <cellStyle name="Normal_SATOCPX" xfId="948"/>
    <cellStyle name="Normal_Segment and Account" xfId="949"/>
    <cellStyle name="Normal_Segment Change" xfId="950"/>
    <cellStyle name="Normal_Sheet" xfId="951"/>
    <cellStyle name="Normal_SHEET_PLDT" xfId="952"/>
    <cellStyle name="Normal_Sheet1" xfId="953"/>
    <cellStyle name="Normal_Sheet1 (2)" xfId="954"/>
    <cellStyle name="Normal_Sheet1_1" xfId="955"/>
    <cellStyle name="Normal_Sheet1_2" xfId="956"/>
    <cellStyle name="Normal_Sheet1_Book6" xfId="957"/>
    <cellStyle name="Normal_Sheet1_Capital (2)" xfId="958"/>
    <cellStyle name="Normal_Sheet1_Dialog1" xfId="959"/>
    <cellStyle name="Normal_Sheet1_laroux" xfId="960"/>
    <cellStyle name="Normal_Sheet1_laroux_1" xfId="961"/>
    <cellStyle name="Normal_Sheet1_laroux_1_pldt" xfId="962"/>
    <cellStyle name="Normal_Sheet1_laroux_2" xfId="963"/>
    <cellStyle name="Normal_Sheet1_laroux_laroux" xfId="964"/>
    <cellStyle name="Normal_Sheet1_laroux_pldt" xfId="965"/>
    <cellStyle name="Normal_Sheet1_PERSONAL" xfId="966"/>
    <cellStyle name="Normal_Sheet1_PLDT" xfId="967"/>
    <cellStyle name="Normal_Sheet1_pldt_1" xfId="968"/>
    <cellStyle name="Normal_Sheet2" xfId="969"/>
    <cellStyle name="Normal_Sheet2_1" xfId="970"/>
    <cellStyle name="Normal_Sheet2_PLDT" xfId="971"/>
    <cellStyle name="Normal_Sheet4" xfId="972"/>
    <cellStyle name="Normal_Sheet4_Kits (2)" xfId="973"/>
    <cellStyle name="Normal_Sheet4_pldt" xfId="974"/>
    <cellStyle name="Normal_Sheet4_pldt_Kits (2)" xfId="975"/>
    <cellStyle name="Normal_Shipped" xfId="976"/>
    <cellStyle name="Normal_Shipping" xfId="977"/>
    <cellStyle name="Normal_split" xfId="978"/>
    <cellStyle name="Normal_Staff cost%rev" xfId="979"/>
    <cellStyle name="Normal_Subsegment Charts (B)" xfId="980"/>
    <cellStyle name="Normal_Summary" xfId="981"/>
    <cellStyle name="Normal_Summary By Div &amp; Cat" xfId="982"/>
    <cellStyle name="Normal_summary_laroux" xfId="983"/>
    <cellStyle name="Normal_T_062396" xfId="984"/>
    <cellStyle name="Normal_Terms Defined" xfId="985"/>
    <cellStyle name="Normal_TMSNW1" xfId="986"/>
    <cellStyle name="Normal_TMSNW2" xfId="987"/>
    <cellStyle name="Normal_TMSOCPX" xfId="988"/>
    <cellStyle name="Normal_Total-Rev dist." xfId="989"/>
    <cellStyle name="Normal_TOTALS" xfId="990"/>
    <cellStyle name="Normal_Tracey Timesheet" xfId="991"/>
    <cellStyle name="Normal_Trend P&amp;L - Actual" xfId="992"/>
    <cellStyle name="Normal_TrendP&amp;L" xfId="993"/>
    <cellStyle name="Normal_TrendRev" xfId="994"/>
    <cellStyle name="Normal_VAR1115.XLS" xfId="995"/>
    <cellStyle name="Normal_Walmart" xfId="996"/>
    <cellStyle name="Normal_WIP Chart" xfId="997"/>
    <cellStyle name="Normal_YTDP&amp;L" xfId="998"/>
    <cellStyle name="Normal_YTDRevSum" xfId="999"/>
    <cellStyle name="pe" xfId="1000"/>
    <cellStyle name="pe_2nd Quarter" xfId="1001"/>
    <cellStyle name="pe_Fcall_Header" xfId="1002"/>
    <cellStyle name="pe_MPSMacros4AppServer" xfId="1003"/>
    <cellStyle name="pe_NEC MODEL" xfId="1004"/>
    <cellStyle name="pe_PLDT" xfId="1005"/>
    <cellStyle name="pe_Qtr comps" xfId="1006"/>
    <cellStyle name="pe_Sheet1" xfId="1007"/>
    <cellStyle name="pe_Sheet2" xfId="1008"/>
    <cellStyle name="PEG" xfId="1009"/>
    <cellStyle name="Percent" xfId="1010"/>
    <cellStyle name="Percent [2]" xfId="1011"/>
    <cellStyle name="Percent_12~3SO2" xfId="1012"/>
    <cellStyle name="Percent_5100 Power" xfId="1013"/>
    <cellStyle name="Percent_5100 Power Calculations" xfId="1014"/>
    <cellStyle name="Percent_Disk Calculations" xfId="1015"/>
    <cellStyle name="Percent_laroux" xfId="1016"/>
    <cellStyle name="Percent_pldt" xfId="1017"/>
    <cellStyle name="Percent_Sheet1" xfId="1018"/>
    <cellStyle name="price" xfId="1019"/>
    <cellStyle name="price_2nd Quarter" xfId="1020"/>
    <cellStyle name="price_Fcall_Header" xfId="1021"/>
    <cellStyle name="price_MPSMacros4AppServer" xfId="1022"/>
    <cellStyle name="price_NEC MODEL" xfId="1023"/>
    <cellStyle name="price_PLDT" xfId="1024"/>
    <cellStyle name="price_Qtr comps" xfId="1025"/>
    <cellStyle name="price_Sheet1" xfId="1026"/>
    <cellStyle name="price_Sheet2" xfId="1027"/>
    <cellStyle name="q" xfId="1028"/>
    <cellStyle name="q_Sheet1" xfId="1029"/>
    <cellStyle name="QEPS-h" xfId="1030"/>
    <cellStyle name="QEPS-H1" xfId="1031"/>
    <cellStyle name="qRange" xfId="1032"/>
    <cellStyle name="range" xfId="1033"/>
    <cellStyle name="range_Sheet1" xfId="1034"/>
    <cellStyle name="RevList" xfId="1035"/>
    <cellStyle name="Subtotal" xfId="1036"/>
    <cellStyle name="tcn" xfId="1037"/>
    <cellStyle name="tn" xfId="10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58705"/>
      <rgbColor rgb="000000FF"/>
      <rgbColor rgb="00FFFF00"/>
      <rgbColor rgb="00996633"/>
      <rgbColor rgb="00993300"/>
      <rgbColor rgb="004E9985"/>
      <rgbColor rgb="0080B3E6"/>
      <rgbColor rgb="00000080"/>
      <rgbColor rgb="00009696"/>
      <rgbColor rgb="00800080"/>
      <rgbColor rgb="00575790"/>
      <rgbColor rgb="00E1E1E1"/>
      <rgbColor rgb="0028508C"/>
      <rgbColor rgb="000066CC"/>
      <rgbColor rgb="00CC6600"/>
      <rgbColor rgb="00FFCC00"/>
      <rgbColor rgb="00009EA6"/>
      <rgbColor rgb="00BE0000"/>
      <rgbColor rgb="00008C03"/>
      <rgbColor rgb="006C83D6"/>
      <rgbColor rgb="00990099"/>
      <rgbColor rgb="001E3086"/>
      <rgbColor rgb="00FFCC00"/>
      <rgbColor rgb="00990099"/>
      <rgbColor rgb="00008C03"/>
      <rgbColor rgb="0066CCFF"/>
      <rgbColor rgb="00BE0000"/>
      <rgbColor rgb="008DCE4C"/>
      <rgbColor rgb="00C58705"/>
      <rgbColor rgb="00FFFFFF"/>
      <rgbColor rgb="003264AF"/>
      <rgbColor rgb="0073868B"/>
      <rgbColor rgb="00677679"/>
      <rgbColor rgb="00162758"/>
      <rgbColor rgb="0028508C"/>
      <rgbColor rgb="00919EA1"/>
      <rgbColor rgb="00005629"/>
      <rgbColor rgb="00FF66CC"/>
      <rgbColor rgb="0033CCCC"/>
      <rgbColor rgb="0099CC00"/>
      <rgbColor rgb="008DCE4C"/>
      <rgbColor rgb="00FF9900"/>
      <rgbColor rgb="00AED6AE"/>
      <rgbColor rgb="00FFFF93"/>
      <rgbColor rgb="00969696"/>
      <rgbColor rgb="00003366"/>
      <rgbColor rgb="00339966"/>
      <rgbColor rgb="00003300"/>
      <rgbColor rgb="00333300"/>
      <rgbColor rgb="009933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4"/>
  <sheetViews>
    <sheetView showGridLines="0" showRowColHeaders="0" tabSelected="1" workbookViewId="0" topLeftCell="A1">
      <pane xSplit="1" ySplit="6" topLeftCell="V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38" sqref="AA38"/>
    </sheetView>
  </sheetViews>
  <sheetFormatPr defaultColWidth="9.140625" defaultRowHeight="12.75"/>
  <cols>
    <col min="1" max="1" width="40.421875" style="0" customWidth="1"/>
    <col min="2" max="2" width="12.00390625" style="0" customWidth="1"/>
    <col min="3" max="3" width="11.57421875" style="0" customWidth="1"/>
    <col min="4" max="4" width="10.421875" style="0" customWidth="1"/>
    <col min="5" max="5" width="10.8515625" style="0" customWidth="1"/>
    <col min="6" max="6" width="12.140625" style="0" customWidth="1"/>
    <col min="7" max="11" width="14.00390625" style="0" bestFit="1" customWidth="1"/>
    <col min="12" max="15" width="11.28125" style="0" bestFit="1" customWidth="1"/>
    <col min="16" max="16" width="11.7109375" style="0" bestFit="1" customWidth="1"/>
    <col min="17" max="17" width="12.421875" style="0" customWidth="1"/>
    <col min="18" max="18" width="11.28125" style="0" bestFit="1" customWidth="1"/>
    <col min="19" max="19" width="11.7109375" style="0" bestFit="1" customWidth="1"/>
    <col min="20" max="20" width="11.28125" style="0" bestFit="1" customWidth="1"/>
    <col min="21" max="21" width="12.28125" style="0" bestFit="1" customWidth="1"/>
    <col min="22" max="22" width="11.7109375" style="0" bestFit="1" customWidth="1"/>
    <col min="23" max="23" width="11.7109375" style="0" customWidth="1"/>
    <col min="24" max="24" width="10.7109375" style="0" customWidth="1"/>
    <col min="25" max="25" width="10.7109375" style="0" bestFit="1" customWidth="1"/>
    <col min="26" max="26" width="10.421875" style="0" bestFit="1" customWidth="1"/>
    <col min="27" max="27" width="10.7109375" style="0" bestFit="1" customWidth="1"/>
  </cols>
  <sheetData>
    <row r="1" spans="1:27" ht="12.75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39"/>
      <c r="Y1" s="39"/>
      <c r="Z1" s="39"/>
      <c r="AA1" s="39"/>
    </row>
    <row r="2" spans="1:27" ht="18">
      <c r="A2" s="8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9"/>
      <c r="Y2" s="39"/>
      <c r="Z2" s="39"/>
      <c r="AA2" s="39"/>
    </row>
    <row r="3" spans="1:27" ht="12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39"/>
      <c r="Y3" s="39"/>
      <c r="Z3" s="39"/>
      <c r="AA3" s="39"/>
    </row>
    <row r="4" spans="1:27" ht="12.75">
      <c r="A4" s="12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9"/>
      <c r="Y4" s="39"/>
      <c r="Z4" s="39"/>
      <c r="AA4" s="39"/>
    </row>
    <row r="5" spans="1:27" ht="12.7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9"/>
      <c r="Y5" s="39"/>
      <c r="Z5" s="39"/>
      <c r="AA5" s="39"/>
    </row>
    <row r="6" spans="1:27" s="7" customFormat="1" ht="12.75">
      <c r="A6" s="22"/>
      <c r="B6" s="12" t="s">
        <v>17</v>
      </c>
      <c r="C6" s="12" t="s">
        <v>18</v>
      </c>
      <c r="D6" s="12" t="s">
        <v>19</v>
      </c>
      <c r="E6" s="12" t="s">
        <v>20</v>
      </c>
      <c r="F6" s="13" t="s">
        <v>24</v>
      </c>
      <c r="G6" s="12" t="s">
        <v>17</v>
      </c>
      <c r="H6" s="12" t="s">
        <v>18</v>
      </c>
      <c r="I6" s="12" t="s">
        <v>19</v>
      </c>
      <c r="J6" s="12" t="s">
        <v>20</v>
      </c>
      <c r="K6" s="13" t="s">
        <v>21</v>
      </c>
      <c r="L6" s="12" t="s">
        <v>17</v>
      </c>
      <c r="M6" s="12" t="s">
        <v>18</v>
      </c>
      <c r="N6" s="12" t="s">
        <v>19</v>
      </c>
      <c r="O6" s="12" t="s">
        <v>20</v>
      </c>
      <c r="P6" s="13" t="s">
        <v>22</v>
      </c>
      <c r="Q6" s="12" t="s">
        <v>17</v>
      </c>
      <c r="R6" s="12" t="s">
        <v>18</v>
      </c>
      <c r="S6" s="12" t="s">
        <v>19</v>
      </c>
      <c r="T6" s="12" t="s">
        <v>20</v>
      </c>
      <c r="U6" s="13" t="s">
        <v>23</v>
      </c>
      <c r="V6" s="12" t="s">
        <v>17</v>
      </c>
      <c r="W6" s="12" t="s">
        <v>18</v>
      </c>
      <c r="X6" s="47" t="s">
        <v>19</v>
      </c>
      <c r="Y6" s="47" t="s">
        <v>20</v>
      </c>
      <c r="Z6" s="54" t="s">
        <v>30</v>
      </c>
      <c r="AA6" s="47" t="s">
        <v>17</v>
      </c>
    </row>
    <row r="7" spans="1:27" ht="12.75">
      <c r="A7" s="14"/>
      <c r="B7" s="23"/>
      <c r="C7" s="23"/>
      <c r="D7" s="23"/>
      <c r="E7" s="23"/>
      <c r="F7" s="14"/>
      <c r="G7" s="23"/>
      <c r="H7" s="23"/>
      <c r="I7" s="23"/>
      <c r="J7" s="23"/>
      <c r="K7" s="14"/>
      <c r="L7" s="23"/>
      <c r="M7" s="23"/>
      <c r="N7" s="23"/>
      <c r="O7" s="23"/>
      <c r="P7" s="14"/>
      <c r="Q7" s="23"/>
      <c r="R7" s="23"/>
      <c r="S7" s="23"/>
      <c r="T7" s="23"/>
      <c r="U7" s="14"/>
      <c r="V7" s="23"/>
      <c r="W7" s="23"/>
      <c r="X7" s="48"/>
      <c r="Y7" s="48"/>
      <c r="Z7" s="55"/>
      <c r="AA7" s="48"/>
    </row>
    <row r="8" spans="1:27" ht="12.75">
      <c r="A8" s="15"/>
      <c r="B8" s="24"/>
      <c r="C8" s="24"/>
      <c r="D8" s="24"/>
      <c r="E8" s="24"/>
      <c r="F8" s="15"/>
      <c r="G8" s="23"/>
      <c r="H8" s="23"/>
      <c r="I8" s="23"/>
      <c r="J8" s="23"/>
      <c r="K8" s="14"/>
      <c r="L8" s="23"/>
      <c r="M8" s="23"/>
      <c r="N8" s="23"/>
      <c r="O8" s="23"/>
      <c r="P8" s="14"/>
      <c r="Q8" s="23"/>
      <c r="R8" s="23"/>
      <c r="S8" s="23"/>
      <c r="T8" s="23"/>
      <c r="U8" s="14"/>
      <c r="V8" s="23"/>
      <c r="W8" s="23"/>
      <c r="X8" s="48"/>
      <c r="Y8" s="48"/>
      <c r="Z8" s="55"/>
      <c r="AA8" s="48"/>
    </row>
    <row r="9" spans="1:27" ht="12.75">
      <c r="A9" s="14"/>
      <c r="B9" s="23"/>
      <c r="C9" s="23"/>
      <c r="D9" s="23"/>
      <c r="E9" s="23"/>
      <c r="F9" s="14"/>
      <c r="G9" s="23"/>
      <c r="H9" s="23"/>
      <c r="I9" s="23"/>
      <c r="J9" s="23"/>
      <c r="K9" s="14"/>
      <c r="L9" s="23"/>
      <c r="M9" s="23"/>
      <c r="N9" s="23"/>
      <c r="O9" s="23"/>
      <c r="P9" s="14"/>
      <c r="Q9" s="23"/>
      <c r="R9" s="23"/>
      <c r="S9" s="23"/>
      <c r="T9" s="23"/>
      <c r="U9" s="14"/>
      <c r="V9" s="23"/>
      <c r="W9" s="23"/>
      <c r="X9" s="48"/>
      <c r="Y9" s="48"/>
      <c r="Z9" s="55"/>
      <c r="AA9" s="48"/>
    </row>
    <row r="10" spans="1:27" s="1" customFormat="1" ht="12.75">
      <c r="A10" s="16" t="s">
        <v>0</v>
      </c>
      <c r="B10" s="25">
        <v>5994424</v>
      </c>
      <c r="C10" s="25">
        <v>5628202</v>
      </c>
      <c r="D10" s="25">
        <v>7995684</v>
      </c>
      <c r="E10" s="25">
        <v>6988699</v>
      </c>
      <c r="F10" s="16">
        <f>+E10+D10+C10+B10</f>
        <v>26607009</v>
      </c>
      <c r="G10" s="25">
        <v>7442914</v>
      </c>
      <c r="H10" s="25">
        <v>9515206</v>
      </c>
      <c r="I10" s="25">
        <v>10326195</v>
      </c>
      <c r="J10" s="25">
        <v>12301604</v>
      </c>
      <c r="K10" s="16">
        <f>+J10+I10+H10+G10</f>
        <v>39585919</v>
      </c>
      <c r="L10" s="25">
        <v>12791408</v>
      </c>
      <c r="M10" s="25">
        <v>16849466</v>
      </c>
      <c r="N10" s="25">
        <v>18771524</v>
      </c>
      <c r="O10" s="25">
        <v>19917563</v>
      </c>
      <c r="P10" s="16">
        <f>+O10+N10+M10+L10</f>
        <v>68329961</v>
      </c>
      <c r="Q10" s="25">
        <v>23665088</v>
      </c>
      <c r="R10" s="25">
        <v>28237129</v>
      </c>
      <c r="S10" s="25">
        <v>33041304</v>
      </c>
      <c r="T10" s="25">
        <v>36011705</v>
      </c>
      <c r="U10" s="16">
        <f>+T10+S10+R10+Q10</f>
        <v>120955226</v>
      </c>
      <c r="V10" s="25">
        <v>39728900</v>
      </c>
      <c r="W10" s="42">
        <v>47941680</v>
      </c>
      <c r="X10" s="42">
        <v>52158059</v>
      </c>
      <c r="Y10" s="49">
        <v>63615115</v>
      </c>
      <c r="Z10" s="16">
        <f>+Y10+X10+W10+V10</f>
        <v>203443754</v>
      </c>
      <c r="AA10" s="49">
        <v>80257833</v>
      </c>
    </row>
    <row r="11" spans="1:27" s="1" customFormat="1" ht="12.75">
      <c r="A11" s="16" t="s">
        <v>1</v>
      </c>
      <c r="B11" s="25">
        <f>3467500+301193</f>
        <v>3768693</v>
      </c>
      <c r="C11" s="25">
        <f>3519219+301193</f>
        <v>3820412</v>
      </c>
      <c r="D11" s="25">
        <f>3803694+362429-33010+118489</f>
        <v>4251602</v>
      </c>
      <c r="E11" s="25">
        <f>3649800+362426-107837-118489+10968</f>
        <v>3796868</v>
      </c>
      <c r="F11" s="16">
        <f>+E11+D11+C11+B11</f>
        <v>15637575</v>
      </c>
      <c r="G11" s="25">
        <f>5347235-463.4*1000</f>
        <v>4883835</v>
      </c>
      <c r="H11" s="25">
        <f>5837552-324.5*1000</f>
        <v>5513052</v>
      </c>
      <c r="I11" s="25">
        <f>6483657-682.4*1000</f>
        <v>5801257</v>
      </c>
      <c r="J11" s="25">
        <f>6802167-385.2*1000</f>
        <v>6416967</v>
      </c>
      <c r="K11" s="16">
        <f>+J11+I11+H11+G11</f>
        <v>22615111</v>
      </c>
      <c r="L11" s="25">
        <v>7547759</v>
      </c>
      <c r="M11" s="25">
        <v>9901154</v>
      </c>
      <c r="N11" s="25">
        <v>10831675</v>
      </c>
      <c r="O11" s="25">
        <v>11875921</v>
      </c>
      <c r="P11" s="16">
        <f>+O11+N11+M11+L11</f>
        <v>40156509</v>
      </c>
      <c r="Q11" s="25">
        <f>13539548</f>
        <v>13539548</v>
      </c>
      <c r="R11" s="25">
        <v>16067440</v>
      </c>
      <c r="S11" s="25">
        <f>16416634-261</f>
        <v>16416373</v>
      </c>
      <c r="T11" s="25">
        <f>19307727-79-3</f>
        <v>19307645</v>
      </c>
      <c r="U11" s="16">
        <f>+T11+S11+R11+Q11</f>
        <v>65331006</v>
      </c>
      <c r="V11" s="25">
        <v>20620264</v>
      </c>
      <c r="W11" s="42">
        <v>26103672</v>
      </c>
      <c r="X11" s="42">
        <v>28524750</v>
      </c>
      <c r="Y11" s="49">
        <v>35831860</v>
      </c>
      <c r="Z11" s="16">
        <f>+Y11+X11+W11+V11</f>
        <v>111080546</v>
      </c>
      <c r="AA11" s="49">
        <v>41962161</v>
      </c>
    </row>
    <row r="12" spans="1:27" s="2" customFormat="1" ht="12.75">
      <c r="A12" s="17" t="s">
        <v>2</v>
      </c>
      <c r="B12" s="26">
        <f aca="true" t="shared" si="0" ref="B12:J12">+B10-B11</f>
        <v>2225731</v>
      </c>
      <c r="C12" s="26">
        <f t="shared" si="0"/>
        <v>1807790</v>
      </c>
      <c r="D12" s="26">
        <f t="shared" si="0"/>
        <v>3744082</v>
      </c>
      <c r="E12" s="26">
        <f t="shared" si="0"/>
        <v>3191831</v>
      </c>
      <c r="F12" s="17">
        <f t="shared" si="0"/>
        <v>10969434</v>
      </c>
      <c r="G12" s="26">
        <f t="shared" si="0"/>
        <v>2559079</v>
      </c>
      <c r="H12" s="26">
        <f t="shared" si="0"/>
        <v>4002154</v>
      </c>
      <c r="I12" s="26">
        <f t="shared" si="0"/>
        <v>4524938</v>
      </c>
      <c r="J12" s="26">
        <f t="shared" si="0"/>
        <v>5884637</v>
      </c>
      <c r="K12" s="17">
        <f>+J12+I12+H12+G12</f>
        <v>16970808</v>
      </c>
      <c r="L12" s="26">
        <f>+L10-L11</f>
        <v>5243649</v>
      </c>
      <c r="M12" s="26">
        <f>+M10-M11</f>
        <v>6948312</v>
      </c>
      <c r="N12" s="26">
        <f>+N10-N11</f>
        <v>7939849</v>
      </c>
      <c r="O12" s="26">
        <f>+O10-O11</f>
        <v>8041642</v>
      </c>
      <c r="P12" s="17">
        <f>+O12+N12+M12+L12</f>
        <v>28173452</v>
      </c>
      <c r="Q12" s="26">
        <f>+Q10-Q11</f>
        <v>10125540</v>
      </c>
      <c r="R12" s="26">
        <f>+R10-R11</f>
        <v>12169689</v>
      </c>
      <c r="S12" s="26">
        <f>+S10-S11</f>
        <v>16624931</v>
      </c>
      <c r="T12" s="26">
        <f>+T10-T11</f>
        <v>16704060</v>
      </c>
      <c r="U12" s="17">
        <f>+T12+S12+R12+Q12</f>
        <v>55624220</v>
      </c>
      <c r="V12" s="26">
        <f>+V10-V11</f>
        <v>19108636</v>
      </c>
      <c r="W12" s="43">
        <f>+W10-W11</f>
        <v>21838008</v>
      </c>
      <c r="X12" s="43">
        <f>+X10-X11</f>
        <v>23633309</v>
      </c>
      <c r="Y12" s="52">
        <f>+Y10-Y11</f>
        <v>27783255</v>
      </c>
      <c r="Z12" s="17">
        <f>+Y12+X12+W12+V12</f>
        <v>92363208</v>
      </c>
      <c r="AA12" s="52">
        <f>+AA10-AA11</f>
        <v>38295672</v>
      </c>
    </row>
    <row r="13" spans="1:27" s="1" customFormat="1" ht="12.75">
      <c r="A13" s="16"/>
      <c r="B13" s="25"/>
      <c r="C13" s="25"/>
      <c r="D13" s="25"/>
      <c r="E13" s="25"/>
      <c r="F13" s="16"/>
      <c r="G13" s="25"/>
      <c r="H13" s="25"/>
      <c r="I13" s="25"/>
      <c r="J13" s="25"/>
      <c r="K13" s="16"/>
      <c r="L13" s="25"/>
      <c r="M13" s="25"/>
      <c r="N13" s="25"/>
      <c r="O13" s="25"/>
      <c r="P13" s="16"/>
      <c r="Q13" s="25"/>
      <c r="R13" s="25"/>
      <c r="S13" s="25"/>
      <c r="T13" s="25"/>
      <c r="U13" s="16"/>
      <c r="V13" s="25"/>
      <c r="W13" s="42"/>
      <c r="X13" s="42"/>
      <c r="Y13" s="49"/>
      <c r="Z13" s="16"/>
      <c r="AA13" s="49"/>
    </row>
    <row r="14" spans="1:27" s="1" customFormat="1" ht="12.75">
      <c r="A14" s="17" t="s">
        <v>26</v>
      </c>
      <c r="B14" s="26"/>
      <c r="C14" s="26"/>
      <c r="D14" s="26"/>
      <c r="E14" s="26"/>
      <c r="F14" s="17"/>
      <c r="G14" s="25"/>
      <c r="H14" s="25"/>
      <c r="I14" s="25"/>
      <c r="J14" s="25"/>
      <c r="K14" s="16"/>
      <c r="L14" s="25"/>
      <c r="M14" s="25"/>
      <c r="N14" s="25"/>
      <c r="O14" s="25"/>
      <c r="P14" s="16"/>
      <c r="Q14" s="25"/>
      <c r="R14" s="25"/>
      <c r="S14" s="25"/>
      <c r="T14" s="25"/>
      <c r="U14" s="16"/>
      <c r="V14" s="25"/>
      <c r="W14" s="42"/>
      <c r="X14" s="42"/>
      <c r="Y14" s="49"/>
      <c r="Z14" s="16"/>
      <c r="AA14" s="49"/>
    </row>
    <row r="15" spans="1:27" s="1" customFormat="1" ht="12.75">
      <c r="A15" s="16" t="s">
        <v>3</v>
      </c>
      <c r="B15" s="25">
        <f>484127+338624</f>
        <v>822751</v>
      </c>
      <c r="C15" s="25">
        <f>654359+364085</f>
        <v>1018444</v>
      </c>
      <c r="D15" s="25">
        <f>669371+424176+118490</f>
        <v>1212037</v>
      </c>
      <c r="E15" s="25">
        <f>835132+273411+199903-10968</f>
        <v>1297478</v>
      </c>
      <c r="F15" s="16">
        <f>+E15+D15+C15+B15</f>
        <v>4350710</v>
      </c>
      <c r="G15" s="25">
        <f>839414+463.4*1000</f>
        <v>1302814</v>
      </c>
      <c r="H15" s="25">
        <f>910703+324.5*1000</f>
        <v>1235203</v>
      </c>
      <c r="I15" s="25">
        <f>1517330+682.4*1000</f>
        <v>2199730</v>
      </c>
      <c r="J15" s="25">
        <f>1887223+385.2*1000</f>
        <v>2272423</v>
      </c>
      <c r="K15" s="16">
        <f>+J15+I15+H15+G15</f>
        <v>7010170</v>
      </c>
      <c r="L15" s="25">
        <v>2481115</v>
      </c>
      <c r="M15" s="25">
        <v>3168702</v>
      </c>
      <c r="N15" s="25">
        <v>3457931</v>
      </c>
      <c r="O15" s="25">
        <v>4117744</v>
      </c>
      <c r="P15" s="16">
        <f>+O15+N15+M15+L15</f>
        <v>13225492</v>
      </c>
      <c r="Q15" s="25">
        <f>3614422</f>
        <v>3614422</v>
      </c>
      <c r="R15" s="25">
        <v>3526461</v>
      </c>
      <c r="S15" s="25">
        <f>4333587</f>
        <v>4333587</v>
      </c>
      <c r="T15" s="25">
        <f>4724582+3</f>
        <v>4724585</v>
      </c>
      <c r="U15" s="16">
        <f>+T15+S15+R15+Q15</f>
        <v>16199055</v>
      </c>
      <c r="V15" s="25">
        <v>5552056</v>
      </c>
      <c r="W15" s="42">
        <f>5929995</f>
        <v>5929995</v>
      </c>
      <c r="X15" s="42">
        <v>6647497</v>
      </c>
      <c r="Y15" s="49">
        <f>6223948+2393024</f>
        <v>8616972</v>
      </c>
      <c r="Z15" s="16">
        <f>+Y15+X15+W15+V15</f>
        <v>26746520</v>
      </c>
      <c r="AA15" s="49">
        <f>4197515+6416913</f>
        <v>10614428</v>
      </c>
    </row>
    <row r="16" spans="1:27" s="1" customFormat="1" ht="12.75">
      <c r="A16" s="16" t="s">
        <v>4</v>
      </c>
      <c r="B16" s="25">
        <v>68825</v>
      </c>
      <c r="C16" s="25">
        <v>68825</v>
      </c>
      <c r="D16" s="25">
        <v>90213</v>
      </c>
      <c r="E16" s="25">
        <v>132989</v>
      </c>
      <c r="F16" s="16">
        <f>+E16+D16+C16+B16</f>
        <v>360852</v>
      </c>
      <c r="G16" s="25">
        <v>132989</v>
      </c>
      <c r="H16" s="25">
        <v>166699</v>
      </c>
      <c r="I16" s="25">
        <v>234119</v>
      </c>
      <c r="J16" s="25">
        <v>234119</v>
      </c>
      <c r="K16" s="16">
        <f>+J16+I16+H16+G16</f>
        <v>767926</v>
      </c>
      <c r="L16" s="25">
        <v>234119</v>
      </c>
      <c r="M16" s="25">
        <v>234119</v>
      </c>
      <c r="N16" s="25">
        <f>1636798-1519739</f>
        <v>117059</v>
      </c>
      <c r="O16" s="25">
        <v>461577</v>
      </c>
      <c r="P16" s="16">
        <f>+O16+N16+M16+L16</f>
        <v>1046874</v>
      </c>
      <c r="Q16" s="25">
        <v>461577</v>
      </c>
      <c r="R16" s="25">
        <v>461577</v>
      </c>
      <c r="S16" s="25">
        <v>1480903</v>
      </c>
      <c r="T16" s="25">
        <f>14148481-12906962</f>
        <v>1241519</v>
      </c>
      <c r="U16" s="16">
        <f>+T16+S16+R16+Q16</f>
        <v>3645576</v>
      </c>
      <c r="V16" s="25">
        <v>1250100</v>
      </c>
      <c r="W16" s="42">
        <f>1293002</f>
        <v>1293002</v>
      </c>
      <c r="X16" s="42">
        <v>1293002</v>
      </c>
      <c r="Y16" s="49">
        <f>1281531</f>
        <v>1281531</v>
      </c>
      <c r="Z16" s="16">
        <f>+Y16+X16+W16+V16</f>
        <v>5117635</v>
      </c>
      <c r="AA16" s="49">
        <v>1275796</v>
      </c>
    </row>
    <row r="17" spans="1:27" s="1" customFormat="1" ht="12.75">
      <c r="A17" s="16" t="s">
        <v>5</v>
      </c>
      <c r="B17" s="25">
        <v>0</v>
      </c>
      <c r="C17" s="25">
        <v>0</v>
      </c>
      <c r="D17" s="25">
        <v>0</v>
      </c>
      <c r="E17" s="25">
        <v>0</v>
      </c>
      <c r="F17" s="16">
        <f>+E17+D17+C17+B17</f>
        <v>0</v>
      </c>
      <c r="G17" s="25">
        <v>0</v>
      </c>
      <c r="H17" s="25">
        <v>0</v>
      </c>
      <c r="I17" s="25">
        <v>0</v>
      </c>
      <c r="J17" s="25">
        <v>0</v>
      </c>
      <c r="K17" s="16">
        <f>+J17+I17+H17+G17</f>
        <v>0</v>
      </c>
      <c r="L17" s="25">
        <v>0</v>
      </c>
      <c r="M17" s="25">
        <v>0</v>
      </c>
      <c r="N17" s="25">
        <v>1519739</v>
      </c>
      <c r="O17" s="25">
        <v>0</v>
      </c>
      <c r="P17" s="16">
        <f>+O17+N17+M17+L17</f>
        <v>1519739</v>
      </c>
      <c r="Q17" s="25">
        <v>0</v>
      </c>
      <c r="R17" s="25">
        <v>0</v>
      </c>
      <c r="S17" s="25">
        <v>0</v>
      </c>
      <c r="T17" s="25">
        <v>12906962</v>
      </c>
      <c r="U17" s="16">
        <f>+T17+S17+R17+Q17</f>
        <v>12906962</v>
      </c>
      <c r="V17" s="25">
        <v>0</v>
      </c>
      <c r="W17" s="42">
        <f>0</f>
        <v>0</v>
      </c>
      <c r="X17" s="42">
        <f>0</f>
        <v>0</v>
      </c>
      <c r="Y17" s="42">
        <f>0</f>
        <v>0</v>
      </c>
      <c r="Z17" s="16">
        <f>+Y17+X17+W17+V17</f>
        <v>0</v>
      </c>
      <c r="AA17" s="42">
        <v>0</v>
      </c>
    </row>
    <row r="18" spans="1:27" s="1" customFormat="1" ht="12.75">
      <c r="A18" s="16"/>
      <c r="B18" s="25"/>
      <c r="C18" s="25"/>
      <c r="D18" s="25"/>
      <c r="E18" s="25"/>
      <c r="F18" s="16"/>
      <c r="G18" s="25"/>
      <c r="H18" s="25"/>
      <c r="I18" s="25"/>
      <c r="J18" s="25"/>
      <c r="K18" s="16"/>
      <c r="L18" s="25"/>
      <c r="M18" s="25"/>
      <c r="N18" s="25"/>
      <c r="O18" s="25"/>
      <c r="P18" s="16"/>
      <c r="Q18" s="25"/>
      <c r="R18" s="25"/>
      <c r="S18" s="25"/>
      <c r="T18" s="25"/>
      <c r="U18" s="16"/>
      <c r="V18" s="25"/>
      <c r="W18" s="44"/>
      <c r="X18" s="50"/>
      <c r="Y18" s="50"/>
      <c r="Z18" s="16"/>
      <c r="AA18" s="50"/>
    </row>
    <row r="19" spans="1:27" s="2" customFormat="1" ht="12.75">
      <c r="A19" s="17" t="s">
        <v>6</v>
      </c>
      <c r="B19" s="26">
        <f aca="true" t="shared" si="1" ref="B19:V19">+B17+B16+B15</f>
        <v>891576</v>
      </c>
      <c r="C19" s="26">
        <f t="shared" si="1"/>
        <v>1087269</v>
      </c>
      <c r="D19" s="26">
        <f t="shared" si="1"/>
        <v>1302250</v>
      </c>
      <c r="E19" s="26">
        <f t="shared" si="1"/>
        <v>1430467</v>
      </c>
      <c r="F19" s="17">
        <f t="shared" si="1"/>
        <v>4711562</v>
      </c>
      <c r="G19" s="26">
        <f t="shared" si="1"/>
        <v>1435803</v>
      </c>
      <c r="H19" s="26">
        <f t="shared" si="1"/>
        <v>1401902</v>
      </c>
      <c r="I19" s="26">
        <f t="shared" si="1"/>
        <v>2433849</v>
      </c>
      <c r="J19" s="26">
        <f t="shared" si="1"/>
        <v>2506542</v>
      </c>
      <c r="K19" s="17">
        <f t="shared" si="1"/>
        <v>7778096</v>
      </c>
      <c r="L19" s="26">
        <f t="shared" si="1"/>
        <v>2715234</v>
      </c>
      <c r="M19" s="26">
        <f t="shared" si="1"/>
        <v>3402821</v>
      </c>
      <c r="N19" s="26">
        <f t="shared" si="1"/>
        <v>5094729</v>
      </c>
      <c r="O19" s="26">
        <f t="shared" si="1"/>
        <v>4579321</v>
      </c>
      <c r="P19" s="17">
        <f t="shared" si="1"/>
        <v>15792105</v>
      </c>
      <c r="Q19" s="26">
        <f t="shared" si="1"/>
        <v>4075999</v>
      </c>
      <c r="R19" s="26">
        <f t="shared" si="1"/>
        <v>3988038</v>
      </c>
      <c r="S19" s="26">
        <f t="shared" si="1"/>
        <v>5814490</v>
      </c>
      <c r="T19" s="26">
        <f t="shared" si="1"/>
        <v>18873066</v>
      </c>
      <c r="U19" s="17">
        <f t="shared" si="1"/>
        <v>32751593</v>
      </c>
      <c r="V19" s="26">
        <f t="shared" si="1"/>
        <v>6802156</v>
      </c>
      <c r="W19" s="43">
        <f>SUM(W15:W17)</f>
        <v>7222997</v>
      </c>
      <c r="X19" s="43">
        <v>7940499</v>
      </c>
      <c r="Y19" s="52">
        <f>SUM(Y15:Y17)</f>
        <v>9898503</v>
      </c>
      <c r="Z19" s="17">
        <f>+Z17+Z16+Z15</f>
        <v>31864155</v>
      </c>
      <c r="AA19" s="52">
        <f>SUM(AA15:AA17)</f>
        <v>11890224</v>
      </c>
    </row>
    <row r="20" spans="1:27" s="6" customFormat="1" ht="12.75">
      <c r="A20" s="18" t="s">
        <v>7</v>
      </c>
      <c r="B20" s="27">
        <f aca="true" t="shared" si="2" ref="B20:J20">+B12-B19</f>
        <v>1334155</v>
      </c>
      <c r="C20" s="27">
        <f t="shared" si="2"/>
        <v>720521</v>
      </c>
      <c r="D20" s="27">
        <f t="shared" si="2"/>
        <v>2441832</v>
      </c>
      <c r="E20" s="27">
        <f t="shared" si="2"/>
        <v>1761364</v>
      </c>
      <c r="F20" s="18">
        <f t="shared" si="2"/>
        <v>6257872</v>
      </c>
      <c r="G20" s="27">
        <f t="shared" si="2"/>
        <v>1123276</v>
      </c>
      <c r="H20" s="27">
        <f t="shared" si="2"/>
        <v>2600252</v>
      </c>
      <c r="I20" s="27">
        <f t="shared" si="2"/>
        <v>2091089</v>
      </c>
      <c r="J20" s="27">
        <f t="shared" si="2"/>
        <v>3378095</v>
      </c>
      <c r="K20" s="18">
        <f>+J20+I20+H20+G20</f>
        <v>9192712</v>
      </c>
      <c r="L20" s="27">
        <f aca="true" t="shared" si="3" ref="L20:V20">+L12-L19</f>
        <v>2528415</v>
      </c>
      <c r="M20" s="27">
        <f t="shared" si="3"/>
        <v>3545491</v>
      </c>
      <c r="N20" s="27">
        <f t="shared" si="3"/>
        <v>2845120</v>
      </c>
      <c r="O20" s="27">
        <f t="shared" si="3"/>
        <v>3462321</v>
      </c>
      <c r="P20" s="18">
        <f t="shared" si="3"/>
        <v>12381347</v>
      </c>
      <c r="Q20" s="27">
        <f t="shared" si="3"/>
        <v>6049541</v>
      </c>
      <c r="R20" s="27">
        <f t="shared" si="3"/>
        <v>8181651</v>
      </c>
      <c r="S20" s="27">
        <f t="shared" si="3"/>
        <v>10810441</v>
      </c>
      <c r="T20" s="28">
        <f t="shared" si="3"/>
        <v>-2169006</v>
      </c>
      <c r="U20" s="18">
        <f t="shared" si="3"/>
        <v>22872627</v>
      </c>
      <c r="V20" s="27">
        <f t="shared" si="3"/>
        <v>12306480</v>
      </c>
      <c r="W20" s="43">
        <f>+W12-W19</f>
        <v>14615011</v>
      </c>
      <c r="X20" s="43">
        <f>+X12-X19</f>
        <v>15692810</v>
      </c>
      <c r="Y20" s="52">
        <f>+Y12-Y19</f>
        <v>17884752</v>
      </c>
      <c r="Z20" s="18">
        <f>+Z12-Z19</f>
        <v>60499053</v>
      </c>
      <c r="AA20" s="52">
        <f>+AA12-AA19</f>
        <v>26405448</v>
      </c>
    </row>
    <row r="21" spans="1:27" s="4" customFormat="1" ht="12.75">
      <c r="A21" s="19" t="s">
        <v>8</v>
      </c>
      <c r="B21" s="29">
        <v>0</v>
      </c>
      <c r="C21" s="29">
        <v>0</v>
      </c>
      <c r="D21" s="29">
        <v>0</v>
      </c>
      <c r="E21" s="29">
        <v>0</v>
      </c>
      <c r="F21" s="16">
        <f>+E21+D21+C21+B21</f>
        <v>0</v>
      </c>
      <c r="G21" s="29">
        <v>0</v>
      </c>
      <c r="H21" s="29">
        <v>0</v>
      </c>
      <c r="I21" s="29">
        <v>0</v>
      </c>
      <c r="J21" s="29">
        <v>0</v>
      </c>
      <c r="K21" s="19">
        <f>+J21+I21+H21+G21</f>
        <v>0</v>
      </c>
      <c r="L21" s="29">
        <v>0</v>
      </c>
      <c r="M21" s="29">
        <v>0</v>
      </c>
      <c r="N21" s="29">
        <v>0</v>
      </c>
      <c r="O21" s="29">
        <v>0</v>
      </c>
      <c r="P21" s="19">
        <f>+O21+N21+M21+L21</f>
        <v>0</v>
      </c>
      <c r="Q21" s="30">
        <v>-830244</v>
      </c>
      <c r="R21" s="30">
        <v>-836599</v>
      </c>
      <c r="S21" s="30">
        <v>-419044</v>
      </c>
      <c r="T21" s="29">
        <v>0</v>
      </c>
      <c r="U21" s="38">
        <f>+T21+S21+R21+Q21</f>
        <v>-2085887</v>
      </c>
      <c r="V21" s="29">
        <v>0</v>
      </c>
      <c r="W21" s="42">
        <v>0</v>
      </c>
      <c r="X21" s="42">
        <f>0</f>
        <v>0</v>
      </c>
      <c r="Y21" s="42">
        <f>0</f>
        <v>0</v>
      </c>
      <c r="Z21" s="38">
        <f>+Y21+X21+W21+V21</f>
        <v>0</v>
      </c>
      <c r="AA21" s="42">
        <v>0</v>
      </c>
    </row>
    <row r="22" spans="1:27" s="1" customFormat="1" ht="12.75">
      <c r="A22" s="16" t="s">
        <v>9</v>
      </c>
      <c r="B22" s="25">
        <v>282821</v>
      </c>
      <c r="C22" s="25">
        <v>347170</v>
      </c>
      <c r="D22" s="25">
        <v>236257</v>
      </c>
      <c r="E22" s="25">
        <v>594081</v>
      </c>
      <c r="F22" s="16">
        <f>+E22+D22+C22+B22</f>
        <v>1460329</v>
      </c>
      <c r="G22" s="25">
        <f>209183-41433</f>
        <v>167750</v>
      </c>
      <c r="H22" s="25">
        <f>219467-40510</f>
        <v>178957</v>
      </c>
      <c r="I22" s="25">
        <f>429992-40265</f>
        <v>389727</v>
      </c>
      <c r="J22" s="25">
        <f>83186-50060</f>
        <v>33126</v>
      </c>
      <c r="K22" s="16">
        <f>+J22+I22+H22+G22</f>
        <v>769560</v>
      </c>
      <c r="L22" s="25">
        <v>134973</v>
      </c>
      <c r="M22" s="25">
        <v>348768</v>
      </c>
      <c r="N22" s="25">
        <v>122583</v>
      </c>
      <c r="O22" s="25">
        <v>194475</v>
      </c>
      <c r="P22" s="16">
        <f>+O22+N22+M22+L22</f>
        <v>800799</v>
      </c>
      <c r="Q22" s="25">
        <v>218690</v>
      </c>
      <c r="R22" s="25">
        <v>102873</v>
      </c>
      <c r="S22" s="25">
        <v>792084</v>
      </c>
      <c r="T22" s="25">
        <v>423351</v>
      </c>
      <c r="U22" s="16">
        <f>+T22+S22+R22+Q22</f>
        <v>1536998</v>
      </c>
      <c r="V22" s="25">
        <v>3210701</v>
      </c>
      <c r="W22" s="42">
        <v>2205581</v>
      </c>
      <c r="X22" s="42">
        <v>1636637</v>
      </c>
      <c r="Y22" s="49">
        <f>1985873</f>
        <v>1985873</v>
      </c>
      <c r="Z22" s="16">
        <f>+Y22+X22+W22+V22</f>
        <v>9038792</v>
      </c>
      <c r="AA22" s="49">
        <v>3403057</v>
      </c>
    </row>
    <row r="23" spans="1:27" s="1" customFormat="1" ht="12.75">
      <c r="A23" s="16"/>
      <c r="B23" s="25"/>
      <c r="C23" s="25"/>
      <c r="D23" s="25"/>
      <c r="E23" s="25"/>
      <c r="F23" s="16"/>
      <c r="G23" s="25"/>
      <c r="H23" s="25"/>
      <c r="I23" s="25"/>
      <c r="J23" s="25"/>
      <c r="K23" s="16"/>
      <c r="L23" s="25"/>
      <c r="M23" s="25"/>
      <c r="N23" s="25"/>
      <c r="O23" s="25"/>
      <c r="P23" s="16"/>
      <c r="Q23" s="25"/>
      <c r="R23" s="25"/>
      <c r="S23" s="25"/>
      <c r="T23" s="25"/>
      <c r="U23" s="16"/>
      <c r="V23" s="25"/>
      <c r="W23" s="44"/>
      <c r="X23" s="50"/>
      <c r="Y23" s="50"/>
      <c r="Z23" s="16"/>
      <c r="AA23" s="50"/>
    </row>
    <row r="24" spans="1:27" s="2" customFormat="1" ht="12.75">
      <c r="A24" s="17" t="s">
        <v>10</v>
      </c>
      <c r="B24" s="26">
        <f aca="true" t="shared" si="4" ref="B24:G24">+B20+B21+B22</f>
        <v>1616976</v>
      </c>
      <c r="C24" s="26">
        <f t="shared" si="4"/>
        <v>1067691</v>
      </c>
      <c r="D24" s="26">
        <f t="shared" si="4"/>
        <v>2678089</v>
      </c>
      <c r="E24" s="26">
        <f t="shared" si="4"/>
        <v>2355445</v>
      </c>
      <c r="F24" s="17">
        <f t="shared" si="4"/>
        <v>7718201</v>
      </c>
      <c r="G24" s="26">
        <f t="shared" si="4"/>
        <v>1291026</v>
      </c>
      <c r="H24" s="26">
        <f>+H22+H20+H21</f>
        <v>2779209</v>
      </c>
      <c r="I24" s="26">
        <f>+I22+I20+I21</f>
        <v>2480816</v>
      </c>
      <c r="J24" s="26">
        <f>+J22+J20+J21</f>
        <v>3411221</v>
      </c>
      <c r="K24" s="17">
        <f>+K22+K20+K21</f>
        <v>9962272</v>
      </c>
      <c r="L24" s="26">
        <f aca="true" t="shared" si="5" ref="L24:V24">+L22+L21+L20</f>
        <v>2663388</v>
      </c>
      <c r="M24" s="26">
        <f t="shared" si="5"/>
        <v>3894259</v>
      </c>
      <c r="N24" s="26">
        <f t="shared" si="5"/>
        <v>2967703</v>
      </c>
      <c r="O24" s="26">
        <f t="shared" si="5"/>
        <v>3656796</v>
      </c>
      <c r="P24" s="17">
        <f t="shared" si="5"/>
        <v>13182146</v>
      </c>
      <c r="Q24" s="26">
        <f t="shared" si="5"/>
        <v>5437987</v>
      </c>
      <c r="R24" s="26">
        <f t="shared" si="5"/>
        <v>7447925</v>
      </c>
      <c r="S24" s="26">
        <f t="shared" si="5"/>
        <v>11183481</v>
      </c>
      <c r="T24" s="28">
        <f t="shared" si="5"/>
        <v>-1745655</v>
      </c>
      <c r="U24" s="17">
        <f t="shared" si="5"/>
        <v>22323738</v>
      </c>
      <c r="V24" s="26">
        <f t="shared" si="5"/>
        <v>15517181</v>
      </c>
      <c r="W24" s="43">
        <f>+W20+W22</f>
        <v>16820592</v>
      </c>
      <c r="X24" s="43">
        <f>+X20+X22</f>
        <v>17329447</v>
      </c>
      <c r="Y24" s="52">
        <f>+Y20+Y22</f>
        <v>19870625</v>
      </c>
      <c r="Z24" s="17">
        <f>+Z22+Z21+Z20</f>
        <v>69537845</v>
      </c>
      <c r="AA24" s="52">
        <f>+AA20+AA22</f>
        <v>29808505</v>
      </c>
    </row>
    <row r="25" spans="1:27" s="1" customFormat="1" ht="12.75">
      <c r="A25" s="16" t="s">
        <v>11</v>
      </c>
      <c r="B25" s="25">
        <v>12944</v>
      </c>
      <c r="C25" s="25">
        <v>-12517</v>
      </c>
      <c r="D25" s="25">
        <v>233359</v>
      </c>
      <c r="E25" s="25">
        <v>660776</v>
      </c>
      <c r="F25" s="16">
        <f>+E25+D25+C25+B25</f>
        <v>894562</v>
      </c>
      <c r="G25" s="25">
        <f>302546-32090</f>
        <v>270456</v>
      </c>
      <c r="H25" s="25">
        <f>421974-32091</f>
        <v>389883</v>
      </c>
      <c r="I25" s="25">
        <f>309636-92520</f>
        <v>217116</v>
      </c>
      <c r="J25" s="25">
        <f>535334-92519</f>
        <v>442815</v>
      </c>
      <c r="K25" s="16">
        <f>+J25+I25+H25+G25</f>
        <v>1320270</v>
      </c>
      <c r="L25" s="25">
        <f>282943+210416</f>
        <v>493359</v>
      </c>
      <c r="M25" s="25">
        <f>420124-160235</f>
        <v>259889</v>
      </c>
      <c r="N25" s="25">
        <f>381051-156435</f>
        <v>224616</v>
      </c>
      <c r="O25" s="25">
        <f>393893-601299</f>
        <v>-207406</v>
      </c>
      <c r="P25" s="16">
        <f>+O25+N25+M25+L25</f>
        <v>770458</v>
      </c>
      <c r="Q25" s="25">
        <v>662221</v>
      </c>
      <c r="R25" s="25">
        <v>1288543</v>
      </c>
      <c r="S25" s="25">
        <v>1601802</v>
      </c>
      <c r="T25" s="25">
        <v>1325084</v>
      </c>
      <c r="U25" s="16">
        <f>+T25+S25+R25+Q25</f>
        <v>4877650</v>
      </c>
      <c r="V25" s="25">
        <v>2206302</v>
      </c>
      <c r="W25" s="42">
        <v>2100081</v>
      </c>
      <c r="X25" s="42">
        <v>1912519</v>
      </c>
      <c r="Y25" s="49">
        <v>1974415</v>
      </c>
      <c r="Z25" s="16">
        <f>+Y25+X25+W25+V25</f>
        <v>8193317</v>
      </c>
      <c r="AA25" s="49">
        <v>2976832</v>
      </c>
    </row>
    <row r="26" spans="1:27" s="1" customFormat="1" ht="12.75">
      <c r="A26" s="16" t="s">
        <v>12</v>
      </c>
      <c r="B26" s="25">
        <v>0</v>
      </c>
      <c r="C26" s="25">
        <v>0</v>
      </c>
      <c r="D26" s="25">
        <v>0</v>
      </c>
      <c r="E26" s="25">
        <v>0</v>
      </c>
      <c r="F26" s="16">
        <f>+E26+D26+C26+B26</f>
        <v>0</v>
      </c>
      <c r="G26" s="25">
        <v>0</v>
      </c>
      <c r="H26" s="25">
        <v>0</v>
      </c>
      <c r="I26" s="25">
        <v>0</v>
      </c>
      <c r="J26" s="25">
        <v>0</v>
      </c>
      <c r="K26" s="16">
        <f>+J26+I26+H26+G26</f>
        <v>0</v>
      </c>
      <c r="L26" s="25">
        <v>0</v>
      </c>
      <c r="M26" s="25">
        <v>0</v>
      </c>
      <c r="N26" s="25">
        <f>56250-22500</f>
        <v>33750</v>
      </c>
      <c r="O26" s="25">
        <f>56250-22500</f>
        <v>33750</v>
      </c>
      <c r="P26" s="16">
        <f>+O26+N26+M26+L26</f>
        <v>67500</v>
      </c>
      <c r="Q26" s="25">
        <v>0</v>
      </c>
      <c r="R26" s="25">
        <v>0</v>
      </c>
      <c r="S26" s="25">
        <v>0</v>
      </c>
      <c r="T26" s="25">
        <v>0</v>
      </c>
      <c r="U26" s="16">
        <f>+T26+S26+R26+Q26</f>
        <v>0</v>
      </c>
      <c r="V26" s="25">
        <v>0</v>
      </c>
      <c r="W26" s="42">
        <v>0</v>
      </c>
      <c r="X26" s="42">
        <f>0</f>
        <v>0</v>
      </c>
      <c r="Y26" s="42">
        <f>0</f>
        <v>0</v>
      </c>
      <c r="Z26" s="16">
        <f>+Y26+X26+W26+V26</f>
        <v>0</v>
      </c>
      <c r="AA26" s="42">
        <v>0</v>
      </c>
    </row>
    <row r="27" spans="1:27" s="1" customFormat="1" ht="12.75">
      <c r="A27" s="16"/>
      <c r="B27" s="25"/>
      <c r="C27" s="25"/>
      <c r="D27" s="25"/>
      <c r="E27" s="25"/>
      <c r="F27" s="16"/>
      <c r="G27" s="25"/>
      <c r="H27" s="25"/>
      <c r="I27" s="25"/>
      <c r="J27" s="25"/>
      <c r="K27" s="16"/>
      <c r="L27" s="25"/>
      <c r="M27" s="25"/>
      <c r="N27" s="25"/>
      <c r="O27" s="25"/>
      <c r="P27" s="16"/>
      <c r="Q27" s="25"/>
      <c r="R27" s="25"/>
      <c r="S27" s="25"/>
      <c r="T27" s="25"/>
      <c r="U27" s="16"/>
      <c r="V27" s="25"/>
      <c r="W27" s="42"/>
      <c r="X27" s="42"/>
      <c r="Y27" s="49"/>
      <c r="Z27" s="16"/>
      <c r="AA27" s="49"/>
    </row>
    <row r="28" spans="1:27" s="2" customFormat="1" ht="12.75">
      <c r="A28" s="17" t="s">
        <v>13</v>
      </c>
      <c r="B28" s="26">
        <f aca="true" t="shared" si="6" ref="B28:V28">+B24-B25-B26</f>
        <v>1604032</v>
      </c>
      <c r="C28" s="26">
        <f t="shared" si="6"/>
        <v>1080208</v>
      </c>
      <c r="D28" s="26">
        <f t="shared" si="6"/>
        <v>2444730</v>
      </c>
      <c r="E28" s="26">
        <f t="shared" si="6"/>
        <v>1694669</v>
      </c>
      <c r="F28" s="17">
        <f t="shared" si="6"/>
        <v>6823639</v>
      </c>
      <c r="G28" s="26">
        <f t="shared" si="6"/>
        <v>1020570</v>
      </c>
      <c r="H28" s="26">
        <f t="shared" si="6"/>
        <v>2389326</v>
      </c>
      <c r="I28" s="26">
        <f t="shared" si="6"/>
        <v>2263700</v>
      </c>
      <c r="J28" s="26">
        <f t="shared" si="6"/>
        <v>2968406</v>
      </c>
      <c r="K28" s="17">
        <f t="shared" si="6"/>
        <v>8642002</v>
      </c>
      <c r="L28" s="26">
        <f t="shared" si="6"/>
        <v>2170029</v>
      </c>
      <c r="M28" s="26">
        <f t="shared" si="6"/>
        <v>3634370</v>
      </c>
      <c r="N28" s="26">
        <f t="shared" si="6"/>
        <v>2709337</v>
      </c>
      <c r="O28" s="26">
        <f t="shared" si="6"/>
        <v>3830452</v>
      </c>
      <c r="P28" s="17">
        <f t="shared" si="6"/>
        <v>12344188</v>
      </c>
      <c r="Q28" s="26">
        <f t="shared" si="6"/>
        <v>4775766</v>
      </c>
      <c r="R28" s="26">
        <f t="shared" si="6"/>
        <v>6159382</v>
      </c>
      <c r="S28" s="26">
        <f t="shared" si="6"/>
        <v>9581679</v>
      </c>
      <c r="T28" s="28">
        <f t="shared" si="6"/>
        <v>-3070739</v>
      </c>
      <c r="U28" s="17">
        <f t="shared" si="6"/>
        <v>17446088</v>
      </c>
      <c r="V28" s="26">
        <f t="shared" si="6"/>
        <v>13310879</v>
      </c>
      <c r="W28" s="43">
        <f>+W24-W25</f>
        <v>14720511</v>
      </c>
      <c r="X28" s="43">
        <f>+X24-X25</f>
        <v>15416928</v>
      </c>
      <c r="Y28" s="52">
        <f>+Y24-Y25</f>
        <v>17896210</v>
      </c>
      <c r="Z28" s="17">
        <f>+Z24-Z25-Z26</f>
        <v>61344528</v>
      </c>
      <c r="AA28" s="52">
        <f>+AA24-AA25</f>
        <v>26831673</v>
      </c>
    </row>
    <row r="29" spans="1:27" ht="12.75">
      <c r="A29" s="15" t="s">
        <v>28</v>
      </c>
      <c r="B29" s="24"/>
      <c r="C29" s="24"/>
      <c r="D29" s="24"/>
      <c r="E29" s="24"/>
      <c r="F29" s="15"/>
      <c r="G29" s="23"/>
      <c r="H29" s="23"/>
      <c r="I29" s="23"/>
      <c r="J29" s="23"/>
      <c r="K29" s="14"/>
      <c r="L29" s="23"/>
      <c r="M29" s="23"/>
      <c r="N29" s="23"/>
      <c r="O29" s="23"/>
      <c r="P29" s="14"/>
      <c r="Q29" s="23"/>
      <c r="R29" s="23"/>
      <c r="S29" s="23"/>
      <c r="T29" s="23"/>
      <c r="U29" s="14"/>
      <c r="V29" s="23"/>
      <c r="W29" s="42"/>
      <c r="X29" s="42"/>
      <c r="Y29" s="49"/>
      <c r="Z29" s="14"/>
      <c r="AA29" s="49"/>
    </row>
    <row r="30" spans="1:27" ht="12.75">
      <c r="A30" s="14"/>
      <c r="B30" s="23"/>
      <c r="C30" s="23"/>
      <c r="D30" s="23"/>
      <c r="E30" s="23"/>
      <c r="F30" s="14"/>
      <c r="G30" s="23"/>
      <c r="H30" s="23"/>
      <c r="I30" s="23"/>
      <c r="J30" s="23"/>
      <c r="K30" s="14"/>
      <c r="L30" s="23"/>
      <c r="M30" s="23"/>
      <c r="N30" s="23"/>
      <c r="O30" s="23"/>
      <c r="P30" s="14"/>
      <c r="Q30" s="23"/>
      <c r="R30" s="23"/>
      <c r="S30" s="23"/>
      <c r="T30" s="23"/>
      <c r="U30" s="14"/>
      <c r="V30" s="23"/>
      <c r="W30" s="42"/>
      <c r="X30" s="42"/>
      <c r="Y30" s="49"/>
      <c r="Z30" s="14"/>
      <c r="AA30" s="49"/>
    </row>
    <row r="31" spans="1:27" s="5" customFormat="1" ht="12.75">
      <c r="A31" s="20" t="s">
        <v>14</v>
      </c>
      <c r="B31" s="31">
        <f>ROUND(B28/B37,2)</f>
        <v>0.01</v>
      </c>
      <c r="C31" s="31">
        <f>ROUND(C28/C37,2)</f>
        <v>0.01</v>
      </c>
      <c r="D31" s="31">
        <f>ROUND(D28/D37,2)</f>
        <v>0.02</v>
      </c>
      <c r="E31" s="31">
        <f>ROUND(E28/E37,2)</f>
        <v>0.01</v>
      </c>
      <c r="F31" s="20">
        <f>+E31+D31+B31+C31</f>
        <v>0.05</v>
      </c>
      <c r="G31" s="31">
        <f>ROUND(G28/G37,2)</f>
        <v>0.01</v>
      </c>
      <c r="H31" s="31">
        <f>ROUND(H28/H37,2)</f>
        <v>0.02</v>
      </c>
      <c r="I31" s="31">
        <f>ROUND(I28/I37,2)</f>
        <v>0.02</v>
      </c>
      <c r="J31" s="31">
        <f>ROUND(J28/J37,2)</f>
        <v>0.03</v>
      </c>
      <c r="K31" s="36">
        <f>+J31+I31+H31+G31</f>
        <v>0.08</v>
      </c>
      <c r="L31" s="31">
        <f>ROUND(L28/L37,2)</f>
        <v>0.02</v>
      </c>
      <c r="M31" s="31">
        <f>ROUND(M28/M37,2)</f>
        <v>0.03</v>
      </c>
      <c r="N31" s="31">
        <f>ROUND(N28/N37,2)</f>
        <v>0.02</v>
      </c>
      <c r="O31" s="31">
        <f>ROUND(O28/O37,2)</f>
        <v>0.03</v>
      </c>
      <c r="P31" s="36">
        <f>+O31+N31+M31+L31</f>
        <v>0.1</v>
      </c>
      <c r="Q31" s="31">
        <f>ROUND(Q28/Q37,2)</f>
        <v>0.04</v>
      </c>
      <c r="R31" s="31">
        <f>ROUND(R28/R37,2)</f>
        <v>0.05</v>
      </c>
      <c r="S31" s="31">
        <f>ROUND(S28/S37,2)</f>
        <v>0.08</v>
      </c>
      <c r="T31" s="31">
        <f>ROUND(T28/T37,2)</f>
        <v>-0.02</v>
      </c>
      <c r="U31" s="36">
        <f>+T31+S31+R31+Q31</f>
        <v>0.15</v>
      </c>
      <c r="V31" s="31">
        <f>ROUND(V28/V37,2)</f>
        <v>0.1</v>
      </c>
      <c r="W31" s="31">
        <f>ROUND(W28/W37,2)</f>
        <v>0.11</v>
      </c>
      <c r="X31" s="31">
        <f>ROUND(X28/X37,2)</f>
        <v>0.12</v>
      </c>
      <c r="Y31" s="31">
        <f>ROUND(Y28/Y37,2)</f>
        <v>0.14</v>
      </c>
      <c r="Z31" s="36">
        <f>+Y31+X31+W31+V31</f>
        <v>0.47</v>
      </c>
      <c r="AA31" s="31">
        <f>ROUND(AA28/AA37,2)</f>
        <v>0.2</v>
      </c>
    </row>
    <row r="32" spans="1:27" s="5" customFormat="1" ht="12" customHeight="1">
      <c r="A32" s="20" t="s">
        <v>15</v>
      </c>
      <c r="B32" s="31">
        <f>ROUND(B28/B38,2)</f>
        <v>0.01</v>
      </c>
      <c r="C32" s="31">
        <f>ROUND(C28/C38,2)</f>
        <v>0.01</v>
      </c>
      <c r="D32" s="31">
        <f>ROUND(D28/D38,2)</f>
        <v>0.02</v>
      </c>
      <c r="E32" s="31">
        <f>ROUND(E28/E38,2)</f>
        <v>0.01</v>
      </c>
      <c r="F32" s="20">
        <f>+E32+D32+B32+C32</f>
        <v>0.05</v>
      </c>
      <c r="G32" s="31">
        <f>ROUND(G28/G38,2)</f>
        <v>0.01</v>
      </c>
      <c r="H32" s="31">
        <f>ROUND(H28/H38,2)</f>
        <v>0.02</v>
      </c>
      <c r="I32" s="31">
        <f>ROUND(I28/I38,2)</f>
        <v>0.02</v>
      </c>
      <c r="J32" s="31">
        <f>ROUND(J28/J38,2)</f>
        <v>0.02</v>
      </c>
      <c r="K32" s="36">
        <f>+J32+I32+H32+G32</f>
        <v>0.06999999999999999</v>
      </c>
      <c r="L32" s="31">
        <f>ROUND(L28/L38,2)</f>
        <v>0.02</v>
      </c>
      <c r="M32" s="31">
        <f>ROUND(M28/M38,2)</f>
        <v>0.03</v>
      </c>
      <c r="N32" s="31">
        <f>ROUND(N28/N38,2)</f>
        <v>0.02</v>
      </c>
      <c r="O32" s="31">
        <f>ROUND(O28/O38,2)</f>
        <v>0.03</v>
      </c>
      <c r="P32" s="36">
        <f>+O32+N32+M32+L32</f>
        <v>0.1</v>
      </c>
      <c r="Q32" s="31">
        <f>ROUND(Q28/Q38,2)</f>
        <v>0.04</v>
      </c>
      <c r="R32" s="31">
        <f>ROUND(R28/R38,2)</f>
        <v>0.05</v>
      </c>
      <c r="S32" s="31">
        <f>ROUND(S28/S38,2)</f>
        <v>0.08</v>
      </c>
      <c r="T32" s="31">
        <f>ROUND(T28/T38,2)</f>
        <v>-0.02</v>
      </c>
      <c r="U32" s="36">
        <f>+T32+S32+R32+Q32</f>
        <v>0.15</v>
      </c>
      <c r="V32" s="31">
        <f>ROUND(V28/V38,2)</f>
        <v>0.1</v>
      </c>
      <c r="W32" s="31">
        <f>ROUND(W28/W38,2)</f>
        <v>0.11</v>
      </c>
      <c r="X32" s="31">
        <f>ROUND(X28/X38,2)</f>
        <v>0.12</v>
      </c>
      <c r="Y32" s="31">
        <f>ROUND(Y28/Y38,2)</f>
        <v>0.13</v>
      </c>
      <c r="Z32" s="36">
        <f>+Y32+X32+W32+V32</f>
        <v>0.45999999999999996</v>
      </c>
      <c r="AA32" s="31">
        <f>ROUND(AA28/AA38,2)</f>
        <v>0.2</v>
      </c>
    </row>
    <row r="33" spans="1:27" ht="12.75">
      <c r="A33" s="14"/>
      <c r="B33" s="32"/>
      <c r="C33" s="32"/>
      <c r="D33" s="32"/>
      <c r="E33" s="32"/>
      <c r="F33" s="35"/>
      <c r="G33" s="32"/>
      <c r="H33" s="32"/>
      <c r="I33" s="32"/>
      <c r="J33" s="32"/>
      <c r="K33" s="35"/>
      <c r="L33" s="32"/>
      <c r="M33" s="32"/>
      <c r="N33" s="32"/>
      <c r="O33" s="32"/>
      <c r="P33" s="35"/>
      <c r="Q33" s="32"/>
      <c r="R33" s="32"/>
      <c r="S33" s="32"/>
      <c r="T33" s="32"/>
      <c r="U33" s="35"/>
      <c r="V33" s="32"/>
      <c r="W33" s="42"/>
      <c r="X33" s="49"/>
      <c r="Y33" s="23"/>
      <c r="Z33" s="35"/>
      <c r="AA33" s="23"/>
    </row>
    <row r="34" spans="1:27" ht="12.75">
      <c r="A34" s="15" t="s">
        <v>16</v>
      </c>
      <c r="B34" s="24"/>
      <c r="C34" s="24"/>
      <c r="D34" s="24"/>
      <c r="E34" s="24"/>
      <c r="F34" s="15"/>
      <c r="G34" s="23"/>
      <c r="H34" s="23"/>
      <c r="I34" s="23"/>
      <c r="J34" s="23"/>
      <c r="K34" s="14"/>
      <c r="L34" s="23"/>
      <c r="M34" s="23"/>
      <c r="N34" s="23"/>
      <c r="O34" s="23"/>
      <c r="P34" s="14"/>
      <c r="Q34" s="23"/>
      <c r="R34" s="23"/>
      <c r="S34" s="23"/>
      <c r="T34" s="23"/>
      <c r="U34" s="14"/>
      <c r="V34" s="23"/>
      <c r="W34" s="42"/>
      <c r="X34" s="49"/>
      <c r="Y34" s="23"/>
      <c r="Z34" s="14"/>
      <c r="AA34" s="23"/>
    </row>
    <row r="35" spans="1:27" ht="12.75">
      <c r="A35" s="15" t="s">
        <v>29</v>
      </c>
      <c r="B35" s="24"/>
      <c r="C35" s="24"/>
      <c r="D35" s="24"/>
      <c r="E35" s="24"/>
      <c r="F35" s="15"/>
      <c r="G35" s="23"/>
      <c r="H35" s="23"/>
      <c r="I35" s="23"/>
      <c r="J35" s="23"/>
      <c r="K35" s="14"/>
      <c r="L35" s="23"/>
      <c r="M35" s="23"/>
      <c r="N35" s="23"/>
      <c r="O35" s="23"/>
      <c r="P35" s="14"/>
      <c r="Q35" s="23"/>
      <c r="R35" s="23"/>
      <c r="S35" s="23"/>
      <c r="T35" s="23"/>
      <c r="U35" s="14"/>
      <c r="V35" s="23"/>
      <c r="W35" s="42"/>
      <c r="X35" s="49"/>
      <c r="Y35" s="23"/>
      <c r="Z35" s="14"/>
      <c r="AA35" s="23"/>
    </row>
    <row r="36" spans="1:27" ht="12.75">
      <c r="A36" s="14"/>
      <c r="B36" s="23"/>
      <c r="C36" s="23"/>
      <c r="D36" s="23"/>
      <c r="E36" s="23"/>
      <c r="F36" s="14"/>
      <c r="G36" s="23"/>
      <c r="H36" s="23"/>
      <c r="I36" s="23"/>
      <c r="J36" s="23"/>
      <c r="K36" s="14"/>
      <c r="L36" s="23"/>
      <c r="M36" s="23"/>
      <c r="N36" s="23"/>
      <c r="O36" s="23"/>
      <c r="P36" s="14"/>
      <c r="Q36" s="23"/>
      <c r="R36" s="23"/>
      <c r="S36" s="23"/>
      <c r="T36" s="23"/>
      <c r="U36" s="14"/>
      <c r="V36" s="23"/>
      <c r="W36" s="45"/>
      <c r="X36" s="48"/>
      <c r="Y36" s="48"/>
      <c r="Z36" s="14"/>
      <c r="AA36" s="48"/>
    </row>
    <row r="37" spans="1:27" s="3" customFormat="1" ht="12.75">
      <c r="A37" s="21" t="s">
        <v>14</v>
      </c>
      <c r="B37" s="33">
        <f>14517.2*2*1000*2*2</f>
        <v>116137600</v>
      </c>
      <c r="C37" s="33">
        <f>+B37</f>
        <v>116137600</v>
      </c>
      <c r="D37" s="33">
        <f>+C37</f>
        <v>116137600</v>
      </c>
      <c r="E37" s="33">
        <f>+D37</f>
        <v>116137600</v>
      </c>
      <c r="F37" s="21">
        <f>AVERAGE(B37:E37)</f>
        <v>116137600</v>
      </c>
      <c r="G37" s="34">
        <f>14517.2*2*1000*2*2</f>
        <v>116137600</v>
      </c>
      <c r="H37" s="34">
        <f>+G37</f>
        <v>116137600</v>
      </c>
      <c r="I37" s="34">
        <f>14519.2*2*1000*2*2</f>
        <v>116153600</v>
      </c>
      <c r="J37" s="34">
        <f>+I37</f>
        <v>116153600</v>
      </c>
      <c r="K37" s="37">
        <f>AVERAGE(G37:J37)</f>
        <v>116145600</v>
      </c>
      <c r="L37" s="33">
        <f>14519*2*1000*2*2</f>
        <v>116152000</v>
      </c>
      <c r="M37" s="33">
        <f>+L37</f>
        <v>116152000</v>
      </c>
      <c r="N37" s="33">
        <f>15269*2*1000*2*2</f>
        <v>122152000</v>
      </c>
      <c r="O37" s="33">
        <f>+N37</f>
        <v>122152000</v>
      </c>
      <c r="P37" s="21">
        <f>AVERAGE(L37:O37)</f>
        <v>119152000</v>
      </c>
      <c r="Q37" s="33">
        <f>30540000*2*2</f>
        <v>122160000</v>
      </c>
      <c r="R37" s="33">
        <f>30540000*2*2</f>
        <v>122160000</v>
      </c>
      <c r="S37" s="33">
        <f>30540000*2*2</f>
        <v>122160000</v>
      </c>
      <c r="T37" s="33">
        <f>124548640</f>
        <v>124548640</v>
      </c>
      <c r="U37" s="21">
        <f>AVERAGE(Q37:T37)</f>
        <v>122757160</v>
      </c>
      <c r="V37" s="33">
        <f>32844333*2*2</f>
        <v>131377332</v>
      </c>
      <c r="W37" s="46">
        <f>32835767*2*2</f>
        <v>131343068</v>
      </c>
      <c r="X37" s="51">
        <f>65643334*2</f>
        <v>131286668</v>
      </c>
      <c r="Y37" s="53">
        <v>131269934</v>
      </c>
      <c r="Z37" s="21">
        <f>AVERAGE(V37:Y37)-1</f>
        <v>131319249.5</v>
      </c>
      <c r="AA37" s="53">
        <f>65977267*2</f>
        <v>131954534</v>
      </c>
    </row>
    <row r="38" spans="1:27" s="3" customFormat="1" ht="12.75">
      <c r="A38" s="21" t="s">
        <v>15</v>
      </c>
      <c r="B38" s="33">
        <f>14641.259*2*1000*2*2</f>
        <v>117130072</v>
      </c>
      <c r="C38" s="33">
        <f>+B38</f>
        <v>117130072</v>
      </c>
      <c r="D38" s="33">
        <f>14642.402*2*1000*2*2</f>
        <v>117139216</v>
      </c>
      <c r="E38" s="33">
        <f>14644.614*2*1000*2*2</f>
        <v>117156912</v>
      </c>
      <c r="F38" s="21">
        <f>AVERAGE(B38:E38)</f>
        <v>117139068</v>
      </c>
      <c r="G38" s="34">
        <f>14846.212*2*1000*2*2</f>
        <v>118769696</v>
      </c>
      <c r="H38" s="34">
        <f>14849.017*2*1000*2*2</f>
        <v>118792136</v>
      </c>
      <c r="I38" s="34">
        <f>14856.814*2*1000*2*2</f>
        <v>118854512</v>
      </c>
      <c r="J38" s="34">
        <f>14856.627*2*1000*2*2</f>
        <v>118853016</v>
      </c>
      <c r="K38" s="37">
        <f>AVERAGE(G38:J38)</f>
        <v>118817340</v>
      </c>
      <c r="L38" s="33">
        <f>14986*2*1000*2*2</f>
        <v>119888000</v>
      </c>
      <c r="M38" s="33">
        <f>+L38</f>
        <v>119888000</v>
      </c>
      <c r="N38" s="33">
        <f>15418*2*1000*2*2</f>
        <v>123344000</v>
      </c>
      <c r="O38" s="33">
        <f>+N38</f>
        <v>123344000</v>
      </c>
      <c r="P38" s="21">
        <f>AVERAGE(L38:O38)</f>
        <v>121616000</v>
      </c>
      <c r="Q38" s="33">
        <f>30581664*2*2</f>
        <v>122326656</v>
      </c>
      <c r="R38" s="33">
        <f>30591636*2*2</f>
        <v>122366544</v>
      </c>
      <c r="S38" s="33">
        <f>30700509*2*2</f>
        <v>122802036</v>
      </c>
      <c r="T38" s="33">
        <v>124563804</v>
      </c>
      <c r="U38" s="21">
        <f>AVERAGE(Q38:T38)</f>
        <v>123014760</v>
      </c>
      <c r="V38" s="33">
        <f>+V37</f>
        <v>131377332</v>
      </c>
      <c r="W38" s="46">
        <f>32835767*2*2</f>
        <v>131343068</v>
      </c>
      <c r="X38" s="51">
        <f>65718420*2</f>
        <v>131436840</v>
      </c>
      <c r="Y38" s="53">
        <v>132754680</v>
      </c>
      <c r="Z38" s="21">
        <f>AVERAGE(V38:Y38)</f>
        <v>131727980</v>
      </c>
      <c r="AA38" s="53">
        <f>67281919*2</f>
        <v>134563838</v>
      </c>
    </row>
    <row r="39" spans="1:27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12.75">
      <c r="A40" s="39"/>
      <c r="B40" s="39"/>
      <c r="C40" s="39"/>
      <c r="D40" s="39"/>
      <c r="E40" s="39"/>
      <c r="F40" s="39"/>
      <c r="G40" s="40"/>
      <c r="H40" s="40"/>
      <c r="I40" s="40"/>
      <c r="J40" s="40"/>
      <c r="K40" s="40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12.75">
      <c r="A41" s="39"/>
      <c r="B41" s="39"/>
      <c r="C41" s="39"/>
      <c r="D41" s="39"/>
      <c r="E41" s="39"/>
      <c r="F41" s="39"/>
      <c r="G41" s="41"/>
      <c r="H41" s="41"/>
      <c r="I41" s="41"/>
      <c r="J41" s="41"/>
      <c r="K41" s="41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12.75">
      <c r="A42" s="39"/>
      <c r="B42" s="39"/>
      <c r="C42" s="39"/>
      <c r="D42" s="39"/>
      <c r="E42" s="39"/>
      <c r="F42" s="39"/>
      <c r="G42" s="40"/>
      <c r="H42" s="40"/>
      <c r="I42" s="40"/>
      <c r="J42" s="40"/>
      <c r="K42" s="40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</sheetData>
  <printOptions/>
  <pageMargins left="0.2" right="0.23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Bala.K.V</dc:creator>
  <cp:keywords/>
  <dc:description/>
  <cp:lastModifiedBy>Abhilash</cp:lastModifiedBy>
  <cp:lastPrinted>2000-04-12T09:21:09Z</cp:lastPrinted>
  <dcterms:created xsi:type="dcterms:W3CDTF">1999-07-26T03:35:26Z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